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22 SERVICE FINANCIER\22.04 Emprunts\22.04.02 Suivi des emprunts\2021\"/>
    </mc:Choice>
  </mc:AlternateContent>
  <xr:revisionPtr revIDLastSave="0" documentId="8_{AAA89B23-5195-4A92-84DE-F3D580732C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éel 2021" sheetId="5" r:id="rId1"/>
    <sheet name="Budget 2021" sheetId="4" r:id="rId2"/>
    <sheet name="Forecast 2020" sheetId="3" r:id="rId3"/>
    <sheet name="Réel 2019 (18.09.2019)" sheetId="2" r:id="rId4"/>
  </sheets>
  <definedNames>
    <definedName name="_xlnm._FilterDatabase" localSheetId="1" hidden="1">'Budget 2021'!$A$6:$Z$24</definedName>
    <definedName name="_xlnm._FilterDatabase" localSheetId="2" hidden="1">'Forecast 2020'!$A$6:$Z$29</definedName>
    <definedName name="_xlnm._FilterDatabase" localSheetId="3" hidden="1">'Réel 2019 (18.09.2019)'!$A$6:$Z$26</definedName>
    <definedName name="_xlnm._FilterDatabase" localSheetId="0" hidden="1">'Réel 2021'!$A$6:$Z$24</definedName>
    <definedName name="format0" localSheetId="1">#REF!</definedName>
    <definedName name="format0" localSheetId="2">#REF!</definedName>
    <definedName name="format0" localSheetId="0">#REF!</definedName>
    <definedName name="format0">#REF!</definedName>
    <definedName name="format1" localSheetId="1">#REF!</definedName>
    <definedName name="format1" localSheetId="2">#REF!</definedName>
    <definedName name="format1" localSheetId="0">#REF!</definedName>
    <definedName name="format1">#REF!</definedName>
    <definedName name="format2" localSheetId="1">#REF!</definedName>
    <definedName name="format2" localSheetId="2">#REF!</definedName>
    <definedName name="format2" localSheetId="0">#REF!</definedName>
    <definedName name="format2">#REF!</definedName>
    <definedName name="format3" localSheetId="1">#REF!</definedName>
    <definedName name="format3" localSheetId="2">#REF!</definedName>
    <definedName name="format3" localSheetId="0">#REF!</definedName>
    <definedName name="format3">#REF!</definedName>
    <definedName name="format4" localSheetId="1">#REF!</definedName>
    <definedName name="format4" localSheetId="2">#REF!</definedName>
    <definedName name="format4" localSheetId="0">#REF!</definedName>
    <definedName name="format4">#REF!</definedName>
    <definedName name="format5" localSheetId="1">#REF!</definedName>
    <definedName name="format5" localSheetId="2">#REF!</definedName>
    <definedName name="format5" localSheetId="0">#REF!</definedName>
    <definedName name="format5">#REF!</definedName>
    <definedName name="format6" localSheetId="1">#REF!</definedName>
    <definedName name="format6" localSheetId="2">#REF!</definedName>
    <definedName name="format6" localSheetId="0">#REF!</definedName>
    <definedName name="format6">#REF!</definedName>
    <definedName name="format7" localSheetId="1">#REF!</definedName>
    <definedName name="format7" localSheetId="2">#REF!</definedName>
    <definedName name="format7" localSheetId="0">#REF!</definedName>
    <definedName name="format7">#REF!</definedName>
    <definedName name="format8" localSheetId="1">#REF!</definedName>
    <definedName name="format8" localSheetId="2">#REF!</definedName>
    <definedName name="format8" localSheetId="0">#REF!</definedName>
    <definedName name="format8">#REF!</definedName>
    <definedName name="format9" localSheetId="1">#REF!</definedName>
    <definedName name="format9" localSheetId="2">#REF!</definedName>
    <definedName name="format9" localSheetId="0">#REF!</definedName>
    <definedName name="format9">#REF!</definedName>
    <definedName name="_xlnm.Print_Area" localSheetId="1">'Budget 2021'!$A$1:$Z$61</definedName>
    <definedName name="_xlnm.Print_Area" localSheetId="2">'Forecast 2020'!$A$1:$Z$67</definedName>
    <definedName name="_xlnm.Print_Area" localSheetId="3">'Réel 2019 (18.09.2019)'!$A$1:$Z$67</definedName>
    <definedName name="_xlnm.Print_Area" localSheetId="0">'Réel 2021'!$A$1:$Z$62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9" i="5" l="1"/>
  <c r="Z28" i="5"/>
  <c r="X28" i="5"/>
  <c r="X20" i="5" l="1"/>
  <c r="Y20" i="5"/>
  <c r="Z20" i="5" s="1"/>
  <c r="P20" i="5"/>
  <c r="R20" i="5"/>
  <c r="S20" i="5" s="1"/>
  <c r="X23" i="5"/>
  <c r="X22" i="5"/>
  <c r="X21" i="5"/>
  <c r="X19" i="5"/>
  <c r="Y21" i="5"/>
  <c r="Y22" i="5"/>
  <c r="Y23" i="5"/>
  <c r="H24" i="5"/>
  <c r="R9" i="5"/>
  <c r="S9" i="5" s="1"/>
  <c r="R8" i="5"/>
  <c r="S8" i="5" s="1"/>
  <c r="O9" i="5"/>
  <c r="P9" i="5" s="1"/>
  <c r="O8" i="5"/>
  <c r="P8" i="5" s="1"/>
  <c r="M9" i="5"/>
  <c r="L9" i="5"/>
  <c r="L8" i="5"/>
  <c r="M8" i="5" s="1"/>
  <c r="T24" i="5"/>
  <c r="Q24" i="5"/>
  <c r="N24" i="5"/>
  <c r="K24" i="5"/>
  <c r="I9" i="5" l="1"/>
  <c r="J9" i="5" s="1"/>
  <c r="X9" i="5" s="1"/>
  <c r="I8" i="5"/>
  <c r="J8" i="5" s="1"/>
  <c r="X8" i="5" s="1"/>
  <c r="AC11" i="5"/>
  <c r="S62" i="5"/>
  <c r="U37" i="5" s="1"/>
  <c r="P58" i="5"/>
  <c r="P57" i="5"/>
  <c r="P51" i="5"/>
  <c r="P44" i="5"/>
  <c r="P37" i="5"/>
  <c r="Z35" i="5"/>
  <c r="Z23" i="5"/>
  <c r="Z22" i="5"/>
  <c r="Z21" i="5"/>
  <c r="Z19" i="5"/>
  <c r="P19" i="5"/>
  <c r="Z18" i="5"/>
  <c r="S18" i="5"/>
  <c r="X18" i="5" s="1"/>
  <c r="Z17" i="5"/>
  <c r="M17" i="5"/>
  <c r="X17" i="5" s="1"/>
  <c r="Z16" i="5"/>
  <c r="S16" i="5"/>
  <c r="X16" i="5" s="1"/>
  <c r="Z15" i="5"/>
  <c r="M15" i="5"/>
  <c r="X15" i="5" s="1"/>
  <c r="K14" i="5"/>
  <c r="N14" i="5" s="1"/>
  <c r="Y13" i="5"/>
  <c r="V13" i="5"/>
  <c r="K13" i="5"/>
  <c r="N13" i="5" s="1"/>
  <c r="I13" i="5"/>
  <c r="J13" i="5" s="1"/>
  <c r="Z12" i="5"/>
  <c r="N12" i="5"/>
  <c r="Q12" i="5" s="1"/>
  <c r="J12" i="5"/>
  <c r="X12" i="5" s="1"/>
  <c r="K11" i="5"/>
  <c r="M11" i="5" s="1"/>
  <c r="X11" i="5" s="1"/>
  <c r="Z10" i="5"/>
  <c r="K10" i="5"/>
  <c r="N10" i="5" s="1"/>
  <c r="Z9" i="5"/>
  <c r="Z8" i="5"/>
  <c r="AC20" i="5" l="1"/>
  <c r="AF20" i="5"/>
  <c r="P62" i="5"/>
  <c r="J24" i="5"/>
  <c r="AC13" i="5"/>
  <c r="AC10" i="5"/>
  <c r="AC12" i="5"/>
  <c r="AC21" i="5"/>
  <c r="AC19" i="5"/>
  <c r="Q13" i="5"/>
  <c r="T13" i="5" s="1"/>
  <c r="Z13" i="5" s="1"/>
  <c r="P13" i="5"/>
  <c r="Q14" i="5"/>
  <c r="Z14" i="5" s="1"/>
  <c r="P14" i="5"/>
  <c r="X14" i="5" s="1"/>
  <c r="N11" i="5"/>
  <c r="AC23" i="5"/>
  <c r="M13" i="5"/>
  <c r="M24" i="5" s="1"/>
  <c r="Q10" i="5"/>
  <c r="T12" i="5"/>
  <c r="U35" i="5"/>
  <c r="U41" i="5" s="1"/>
  <c r="T14" i="5"/>
  <c r="AC22" i="5"/>
  <c r="AC14" i="5"/>
  <c r="AC15" i="5"/>
  <c r="AC16" i="5"/>
  <c r="AC17" i="5"/>
  <c r="AC18" i="5"/>
  <c r="T56" i="4"/>
  <c r="T54" i="4"/>
  <c r="AF10" i="5" l="1"/>
  <c r="AI10" i="5"/>
  <c r="AI20" i="5"/>
  <c r="P24" i="5"/>
  <c r="AC26" i="5"/>
  <c r="AF14" i="5"/>
  <c r="Z11" i="5"/>
  <c r="Z24" i="5" s="1"/>
  <c r="Q11" i="5"/>
  <c r="T11" i="5" s="1"/>
  <c r="S13" i="5"/>
  <c r="X13" i="5" s="1"/>
  <c r="AF11" i="5"/>
  <c r="AF19" i="5"/>
  <c r="AF18" i="5"/>
  <c r="AF17" i="5"/>
  <c r="AF16" i="5"/>
  <c r="AF15" i="5"/>
  <c r="AF21" i="5"/>
  <c r="AF22" i="5"/>
  <c r="AF23" i="5"/>
  <c r="AF13" i="5"/>
  <c r="AF12" i="5"/>
  <c r="S10" i="5"/>
  <c r="AI21" i="5"/>
  <c r="AI11" i="5"/>
  <c r="AI12" i="5"/>
  <c r="AI22" i="5"/>
  <c r="AI23" i="5"/>
  <c r="AI13" i="5"/>
  <c r="AI19" i="5"/>
  <c r="AI18" i="5"/>
  <c r="AI17" i="5"/>
  <c r="AI16" i="5"/>
  <c r="AI15" i="5"/>
  <c r="K26" i="5"/>
  <c r="N26" i="5"/>
  <c r="AI14" i="5"/>
  <c r="U43" i="4"/>
  <c r="AL20" i="5" l="1"/>
  <c r="AO20" i="5"/>
  <c r="AF26" i="5"/>
  <c r="X10" i="5"/>
  <c r="S24" i="5"/>
  <c r="AI26" i="5"/>
  <c r="U59" i="4"/>
  <c r="U58" i="4"/>
  <c r="T60" i="4"/>
  <c r="AL15" i="5" l="1"/>
  <c r="AL18" i="5"/>
  <c r="AL19" i="5"/>
  <c r="AL23" i="5"/>
  <c r="AL21" i="5"/>
  <c r="AL16" i="5"/>
  <c r="AL12" i="5"/>
  <c r="AL22" i="5"/>
  <c r="AL11" i="5"/>
  <c r="AL14" i="5"/>
  <c r="AL13" i="5"/>
  <c r="AL17" i="5"/>
  <c r="AL10" i="5"/>
  <c r="Q26" i="5"/>
  <c r="AO23" i="5"/>
  <c r="AO17" i="5"/>
  <c r="AO16" i="5"/>
  <c r="AO15" i="5"/>
  <c r="AO18" i="5"/>
  <c r="AO21" i="5"/>
  <c r="AO19" i="5"/>
  <c r="U43" i="5"/>
  <c r="U45" i="5" s="1"/>
  <c r="AO22" i="5"/>
  <c r="AO11" i="5"/>
  <c r="AO13" i="5"/>
  <c r="AO14" i="5"/>
  <c r="AO12" i="5"/>
  <c r="AO10" i="5"/>
  <c r="T26" i="5"/>
  <c r="X24" i="5"/>
  <c r="Z31" i="5" s="1"/>
  <c r="Z37" i="5"/>
  <c r="Z39" i="5" s="1"/>
  <c r="AD34" i="4"/>
  <c r="AD33" i="4"/>
  <c r="Z29" i="3"/>
  <c r="Z24" i="4"/>
  <c r="X24" i="4"/>
  <c r="AL26" i="5" l="1"/>
  <c r="AO26" i="5"/>
  <c r="AB26" i="5" s="1"/>
  <c r="P51" i="4"/>
  <c r="P54" i="4" s="1"/>
  <c r="P46" i="4"/>
  <c r="P38" i="4"/>
  <c r="P33" i="4"/>
  <c r="Z22" i="4" l="1"/>
  <c r="X22" i="4"/>
  <c r="S21" i="4" l="1"/>
  <c r="K14" i="4"/>
  <c r="M14" i="4" s="1"/>
  <c r="R9" i="4"/>
  <c r="S9" i="4" s="1"/>
  <c r="R8" i="4"/>
  <c r="S8" i="4" s="1"/>
  <c r="O9" i="4"/>
  <c r="P9" i="4" s="1"/>
  <c r="P8" i="4"/>
  <c r="O8" i="4"/>
  <c r="L9" i="4"/>
  <c r="M9" i="4" s="1"/>
  <c r="L8" i="4"/>
  <c r="M8" i="4" s="1"/>
  <c r="I9" i="4"/>
  <c r="J9" i="4" s="1"/>
  <c r="I8" i="4"/>
  <c r="J8" i="4" s="1"/>
  <c r="Z21" i="4"/>
  <c r="X21" i="4"/>
  <c r="Z20" i="4"/>
  <c r="P20" i="4"/>
  <c r="X20" i="4" s="1"/>
  <c r="Z19" i="4"/>
  <c r="S19" i="4"/>
  <c r="X19" i="4" s="1"/>
  <c r="Z18" i="4"/>
  <c r="M18" i="4"/>
  <c r="X18" i="4" s="1"/>
  <c r="Z17" i="4"/>
  <c r="S17" i="4"/>
  <c r="X17" i="4" s="1"/>
  <c r="Z16" i="4"/>
  <c r="M16" i="4"/>
  <c r="X16" i="4" s="1"/>
  <c r="K15" i="4"/>
  <c r="N15" i="4" s="1"/>
  <c r="Y14" i="4"/>
  <c r="V14" i="4"/>
  <c r="I14" i="4"/>
  <c r="Z13" i="4"/>
  <c r="N13" i="4"/>
  <c r="Q13" i="4" s="1"/>
  <c r="J13" i="4"/>
  <c r="X13" i="4" s="1"/>
  <c r="K12" i="4"/>
  <c r="N12" i="4" s="1"/>
  <c r="Z11" i="4"/>
  <c r="X11" i="4"/>
  <c r="Z10" i="4"/>
  <c r="K10" i="4"/>
  <c r="Z9" i="4"/>
  <c r="Z8" i="4"/>
  <c r="Z26" i="3"/>
  <c r="S13" i="3"/>
  <c r="J14" i="4" l="1"/>
  <c r="J24" i="4" s="1"/>
  <c r="H24" i="4"/>
  <c r="AC15" i="4" s="1"/>
  <c r="X9" i="4"/>
  <c r="X8" i="4"/>
  <c r="M12" i="4"/>
  <c r="X12" i="4" s="1"/>
  <c r="N14" i="4"/>
  <c r="T13" i="4"/>
  <c r="Q15" i="4"/>
  <c r="P15" i="4"/>
  <c r="X15" i="4" s="1"/>
  <c r="Z12" i="4"/>
  <c r="Q12" i="4"/>
  <c r="N10" i="4"/>
  <c r="K24" i="4"/>
  <c r="AF15" i="4" s="1"/>
  <c r="Z14" i="3"/>
  <c r="X14" i="3"/>
  <c r="Z13" i="3"/>
  <c r="X13" i="3"/>
  <c r="Z10" i="3"/>
  <c r="X10" i="3"/>
  <c r="AC18" i="4" l="1"/>
  <c r="U35" i="4"/>
  <c r="AC20" i="4"/>
  <c r="AC17" i="4"/>
  <c r="AC10" i="4"/>
  <c r="AC19" i="4"/>
  <c r="AC14" i="4"/>
  <c r="AC16" i="4"/>
  <c r="AC21" i="4"/>
  <c r="AC13" i="4"/>
  <c r="AC12" i="4"/>
  <c r="M24" i="4"/>
  <c r="P14" i="4"/>
  <c r="P24" i="4" s="1"/>
  <c r="Q14" i="4"/>
  <c r="Q10" i="4"/>
  <c r="N24" i="4"/>
  <c r="AI10" i="4" s="1"/>
  <c r="Z15" i="4"/>
  <c r="T15" i="4"/>
  <c r="AF14" i="4"/>
  <c r="AF20" i="4"/>
  <c r="AF19" i="4"/>
  <c r="AF18" i="4"/>
  <c r="AF17" i="4"/>
  <c r="AF16" i="4"/>
  <c r="AF21" i="4"/>
  <c r="AF13" i="4"/>
  <c r="AF12" i="4"/>
  <c r="K26" i="4"/>
  <c r="T12" i="4"/>
  <c r="AF10" i="4"/>
  <c r="S9" i="3"/>
  <c r="M8" i="3"/>
  <c r="U41" i="4" l="1"/>
  <c r="AC26" i="4"/>
  <c r="N26" i="4"/>
  <c r="T14" i="4"/>
  <c r="Z14" i="4" s="1"/>
  <c r="S14" i="4"/>
  <c r="X14" i="4" s="1"/>
  <c r="Q24" i="4"/>
  <c r="AL10" i="4" s="1"/>
  <c r="S10" i="4"/>
  <c r="AF26" i="4"/>
  <c r="AI20" i="4"/>
  <c r="AI19" i="4"/>
  <c r="AI18" i="4"/>
  <c r="AI17" i="4"/>
  <c r="AI16" i="4"/>
  <c r="AI14" i="4"/>
  <c r="AI21" i="4"/>
  <c r="AI15" i="4"/>
  <c r="AI12" i="4"/>
  <c r="AI13" i="4"/>
  <c r="P12" i="3"/>
  <c r="X12" i="3" s="1"/>
  <c r="AO9" i="3"/>
  <c r="AL9" i="3"/>
  <c r="AI9" i="3"/>
  <c r="AF9" i="3"/>
  <c r="Z9" i="3"/>
  <c r="X9" i="3"/>
  <c r="J11" i="3"/>
  <c r="X11" i="3" s="1"/>
  <c r="K15" i="3"/>
  <c r="AO12" i="3"/>
  <c r="AL12" i="3"/>
  <c r="AI12" i="3"/>
  <c r="AF12" i="3"/>
  <c r="Z12" i="3"/>
  <c r="H29" i="3"/>
  <c r="AO11" i="3"/>
  <c r="AL11" i="3"/>
  <c r="AI11" i="3"/>
  <c r="AF11" i="3"/>
  <c r="Z11" i="3"/>
  <c r="AO8" i="3"/>
  <c r="AL8" i="3"/>
  <c r="AI8" i="3"/>
  <c r="AF8" i="3"/>
  <c r="Z8" i="3"/>
  <c r="X8" i="3"/>
  <c r="T24" i="4" l="1"/>
  <c r="AO12" i="4" s="1"/>
  <c r="AI26" i="4"/>
  <c r="X10" i="4"/>
  <c r="S24" i="4"/>
  <c r="AL21" i="4"/>
  <c r="AL20" i="4"/>
  <c r="AL19" i="4"/>
  <c r="AL18" i="4"/>
  <c r="AL17" i="4"/>
  <c r="AL16" i="4"/>
  <c r="AL13" i="4"/>
  <c r="AL14" i="4"/>
  <c r="Q26" i="4"/>
  <c r="AL12" i="4"/>
  <c r="AL15" i="4"/>
  <c r="Z40" i="3"/>
  <c r="T26" i="4" l="1"/>
  <c r="AO21" i="4"/>
  <c r="AO16" i="4"/>
  <c r="AO19" i="4"/>
  <c r="AO17" i="4"/>
  <c r="AO18" i="4"/>
  <c r="AO15" i="4"/>
  <c r="AO20" i="4"/>
  <c r="AO13" i="4"/>
  <c r="U45" i="4"/>
  <c r="AO14" i="4"/>
  <c r="AO10" i="4"/>
  <c r="AL26" i="4"/>
  <c r="Z37" i="4"/>
  <c r="S24" i="3"/>
  <c r="M21" i="3"/>
  <c r="J18" i="3"/>
  <c r="P25" i="3"/>
  <c r="P49" i="3"/>
  <c r="P42" i="3"/>
  <c r="P63" i="3"/>
  <c r="P62" i="3"/>
  <c r="P56" i="3"/>
  <c r="S67" i="3"/>
  <c r="I15" i="3"/>
  <c r="AO26" i="4" l="1"/>
  <c r="AB26" i="4" s="1"/>
  <c r="P67" i="3"/>
  <c r="U42" i="3"/>
  <c r="P54" i="2" l="1"/>
  <c r="P53" i="2"/>
  <c r="P52" i="2"/>
  <c r="P51" i="2"/>
  <c r="P46" i="2"/>
  <c r="P39" i="2"/>
  <c r="I51" i="2"/>
  <c r="I52" i="2" s="1"/>
  <c r="I53" i="2" s="1"/>
  <c r="I54" i="2" s="1"/>
  <c r="P56" i="2" l="1"/>
  <c r="U40" i="3" l="1"/>
  <c r="U46" i="3" s="1"/>
  <c r="X26" i="3"/>
  <c r="Z25" i="3"/>
  <c r="X25" i="3"/>
  <c r="Z24" i="3"/>
  <c r="X24" i="3"/>
  <c r="Z23" i="3"/>
  <c r="M23" i="3"/>
  <c r="X23" i="3" s="1"/>
  <c r="Z22" i="3"/>
  <c r="S22" i="3"/>
  <c r="X22" i="3" s="1"/>
  <c r="Z21" i="3"/>
  <c r="X21" i="3"/>
  <c r="K20" i="3"/>
  <c r="N20" i="3" s="1"/>
  <c r="Y19" i="3"/>
  <c r="V19" i="3"/>
  <c r="K19" i="3"/>
  <c r="N19" i="3" s="1"/>
  <c r="Q19" i="3" s="1"/>
  <c r="I19" i="3"/>
  <c r="J19" i="3" s="1"/>
  <c r="Z18" i="3"/>
  <c r="N18" i="3"/>
  <c r="Q18" i="3" s="1"/>
  <c r="T18" i="3" s="1"/>
  <c r="X18" i="3"/>
  <c r="K17" i="3"/>
  <c r="Z16" i="3"/>
  <c r="K16" i="3"/>
  <c r="N16" i="3" s="1"/>
  <c r="J15" i="3"/>
  <c r="K29" i="3" l="1"/>
  <c r="M17" i="3"/>
  <c r="P20" i="3"/>
  <c r="X20" i="3" s="1"/>
  <c r="AC15" i="3"/>
  <c r="N17" i="3"/>
  <c r="Q17" i="3" s="1"/>
  <c r="T17" i="3" s="1"/>
  <c r="M19" i="3"/>
  <c r="P19" i="3"/>
  <c r="AC20" i="3"/>
  <c r="AC21" i="3"/>
  <c r="AC22" i="3"/>
  <c r="AC23" i="3"/>
  <c r="AC24" i="3"/>
  <c r="AC16" i="3"/>
  <c r="AC17" i="3"/>
  <c r="AC25" i="3"/>
  <c r="AC18" i="3"/>
  <c r="AC19" i="3"/>
  <c r="AC26" i="3"/>
  <c r="Q16" i="3"/>
  <c r="S16" i="3" s="1"/>
  <c r="J29" i="3"/>
  <c r="T19" i="3"/>
  <c r="S19" i="3"/>
  <c r="Q20" i="3"/>
  <c r="X17" i="3" l="1"/>
  <c r="M29" i="3"/>
  <c r="X16" i="3"/>
  <c r="Q29" i="3"/>
  <c r="N29" i="3"/>
  <c r="AF16" i="3"/>
  <c r="Z17" i="3"/>
  <c r="AF19" i="3"/>
  <c r="AF18" i="3"/>
  <c r="AF17" i="3"/>
  <c r="AF21" i="3"/>
  <c r="AF26" i="3"/>
  <c r="AF24" i="3"/>
  <c r="AF15" i="3"/>
  <c r="AF22" i="3"/>
  <c r="AF20" i="3"/>
  <c r="AF25" i="3"/>
  <c r="AF23" i="3"/>
  <c r="K31" i="3"/>
  <c r="X19" i="3"/>
  <c r="AC31" i="3"/>
  <c r="Z19" i="3"/>
  <c r="Z20" i="3"/>
  <c r="T20" i="3"/>
  <c r="AI15" i="3" l="1"/>
  <c r="T29" i="3"/>
  <c r="X26" i="4"/>
  <c r="AD35" i="4" s="1"/>
  <c r="AF31" i="3"/>
  <c r="AL15" i="3"/>
  <c r="S29" i="3"/>
  <c r="P29" i="3"/>
  <c r="AI24" i="3"/>
  <c r="AI23" i="3"/>
  <c r="AI22" i="3"/>
  <c r="AI25" i="3"/>
  <c r="AI26" i="3"/>
  <c r="AI18" i="3"/>
  <c r="AI21" i="3"/>
  <c r="AI19" i="3"/>
  <c r="AI17" i="3"/>
  <c r="AI20" i="3"/>
  <c r="AI16" i="3"/>
  <c r="N31" i="3"/>
  <c r="Z35" i="4" l="1"/>
  <c r="Z39" i="4" s="1"/>
  <c r="X28" i="4"/>
  <c r="Z28" i="4" s="1"/>
  <c r="Z29" i="4" s="1"/>
  <c r="Q31" i="3"/>
  <c r="X15" i="3"/>
  <c r="X29" i="3" s="1"/>
  <c r="X33" i="3" s="1"/>
  <c r="AI31" i="3"/>
  <c r="AO15" i="3"/>
  <c r="AL24" i="3"/>
  <c r="AL23" i="3"/>
  <c r="AL22" i="3"/>
  <c r="AL21" i="3"/>
  <c r="AL25" i="3"/>
  <c r="AL26" i="3"/>
  <c r="AL19" i="3"/>
  <c r="AL17" i="3"/>
  <c r="AL18" i="3"/>
  <c r="AL20" i="3"/>
  <c r="AL16" i="3"/>
  <c r="Z31" i="4" l="1"/>
  <c r="AD36" i="4"/>
  <c r="Z33" i="3"/>
  <c r="Z42" i="3"/>
  <c r="Z44" i="3" s="1"/>
  <c r="T31" i="3"/>
  <c r="U48" i="3"/>
  <c r="U50" i="3" s="1"/>
  <c r="AL31" i="3"/>
  <c r="AO25" i="3"/>
  <c r="AO26" i="3"/>
  <c r="AO24" i="3"/>
  <c r="AO23" i="3"/>
  <c r="AO22" i="3"/>
  <c r="AO21" i="3"/>
  <c r="AO18" i="3"/>
  <c r="AO19" i="3"/>
  <c r="AO17" i="3"/>
  <c r="AO16" i="3"/>
  <c r="AO20" i="3"/>
  <c r="Z34" i="3" l="1"/>
  <c r="Z36" i="3" s="1"/>
  <c r="AO31" i="3"/>
  <c r="AB31" i="3" s="1"/>
  <c r="Z9" i="2" l="1"/>
  <c r="S9" i="2"/>
  <c r="P9" i="2"/>
  <c r="M9" i="2"/>
  <c r="X9" i="2" l="1"/>
  <c r="Z11" i="2"/>
  <c r="S11" i="2"/>
  <c r="P11" i="2"/>
  <c r="X11" i="2" l="1"/>
  <c r="I10" i="2" l="1"/>
  <c r="J10" i="2" s="1"/>
  <c r="S8" i="2"/>
  <c r="P8" i="2"/>
  <c r="Z8" i="2"/>
  <c r="M8" i="2"/>
  <c r="X10" i="2" l="1"/>
  <c r="X8" i="2"/>
  <c r="Z25" i="2" l="1"/>
  <c r="Z24" i="2"/>
  <c r="Z23" i="2"/>
  <c r="Z22" i="2"/>
  <c r="H26" i="2" l="1"/>
  <c r="X24" i="2"/>
  <c r="X23" i="2"/>
  <c r="X22" i="2"/>
  <c r="Z21" i="2"/>
  <c r="Z20" i="2"/>
  <c r="Z18" i="2"/>
  <c r="Z15" i="2"/>
  <c r="Y16" i="2"/>
  <c r="Z10" i="2"/>
  <c r="S21" i="2"/>
  <c r="X21" i="2" s="1"/>
  <c r="S19" i="2"/>
  <c r="AC11" i="2" l="1"/>
  <c r="AC9" i="2"/>
  <c r="AC24" i="2"/>
  <c r="AC20" i="2"/>
  <c r="AC16" i="2"/>
  <c r="AC12" i="2"/>
  <c r="AC23" i="2"/>
  <c r="AC19" i="2"/>
  <c r="AC15" i="2"/>
  <c r="AC10" i="2"/>
  <c r="AC13" i="2"/>
  <c r="AC22" i="2"/>
  <c r="AC18" i="2"/>
  <c r="AC14" i="2"/>
  <c r="AC8" i="2"/>
  <c r="AC25" i="2"/>
  <c r="AC21" i="2"/>
  <c r="AC17" i="2"/>
  <c r="J15" i="2"/>
  <c r="I12" i="2"/>
  <c r="Z19" i="2"/>
  <c r="X19" i="2"/>
  <c r="AC28" i="2" l="1"/>
  <c r="M18" i="2"/>
  <c r="M20" i="2"/>
  <c r="X20" i="2" s="1"/>
  <c r="X25" i="2" l="1"/>
  <c r="J12" i="2" l="1"/>
  <c r="X18" i="2" l="1"/>
  <c r="X15" i="2" l="1"/>
  <c r="I16" i="2" l="1"/>
  <c r="J16" i="2" s="1"/>
  <c r="N15" i="2"/>
  <c r="K12" i="2"/>
  <c r="K13" i="2"/>
  <c r="K14" i="2"/>
  <c r="K17" i="2"/>
  <c r="K16" i="2"/>
  <c r="N14" i="2" l="1"/>
  <c r="N13" i="2"/>
  <c r="N17" i="2"/>
  <c r="Q15" i="2"/>
  <c r="T15" i="2" s="1"/>
  <c r="K26" i="2"/>
  <c r="N12" i="2"/>
  <c r="N16" i="2"/>
  <c r="M16" i="2"/>
  <c r="V16" i="2"/>
  <c r="AF11" i="2" l="1"/>
  <c r="AF9" i="2"/>
  <c r="AF13" i="2"/>
  <c r="AF16" i="2"/>
  <c r="Q14" i="2"/>
  <c r="Q12" i="2"/>
  <c r="T12" i="2" s="1"/>
  <c r="AF17" i="2"/>
  <c r="AF24" i="2"/>
  <c r="AF20" i="2"/>
  <c r="AF23" i="2"/>
  <c r="AF19" i="2"/>
  <c r="AF15" i="2"/>
  <c r="AF10" i="2"/>
  <c r="AF22" i="2"/>
  <c r="AF18" i="2"/>
  <c r="AF8" i="2"/>
  <c r="AF25" i="2"/>
  <c r="AF21" i="2"/>
  <c r="Q17" i="2"/>
  <c r="Q13" i="2"/>
  <c r="AF12" i="2"/>
  <c r="AF14" i="2"/>
  <c r="Q16" i="2"/>
  <c r="N26" i="2"/>
  <c r="J26" i="2"/>
  <c r="K28" i="2" s="1"/>
  <c r="Z14" i="2"/>
  <c r="Z13" i="2"/>
  <c r="R12" i="2"/>
  <c r="O12" i="2"/>
  <c r="L12" i="2"/>
  <c r="P17" i="2"/>
  <c r="AI11" i="2" l="1"/>
  <c r="AI9" i="2"/>
  <c r="AI12" i="2"/>
  <c r="AI17" i="2"/>
  <c r="T16" i="2"/>
  <c r="T13" i="2"/>
  <c r="T14" i="2"/>
  <c r="T17" i="2"/>
  <c r="AF28" i="2"/>
  <c r="AI24" i="2"/>
  <c r="AI20" i="2"/>
  <c r="AI23" i="2"/>
  <c r="AI19" i="2"/>
  <c r="AI10" i="2"/>
  <c r="AI22" i="2"/>
  <c r="AI18" i="2"/>
  <c r="AI8" i="2"/>
  <c r="AI25" i="2"/>
  <c r="AI21" i="2"/>
  <c r="AI15" i="2"/>
  <c r="AI13" i="2"/>
  <c r="AI14" i="2"/>
  <c r="AI16" i="2"/>
  <c r="Q26" i="2"/>
  <c r="X17" i="2"/>
  <c r="M12" i="2"/>
  <c r="P16" i="2"/>
  <c r="S13" i="2"/>
  <c r="M14" i="2"/>
  <c r="AL11" i="2" l="1"/>
  <c r="AL9" i="2"/>
  <c r="T26" i="2"/>
  <c r="AO23" i="2" s="1"/>
  <c r="AL17" i="2"/>
  <c r="Z16" i="2"/>
  <c r="AL24" i="2"/>
  <c r="AL20" i="2"/>
  <c r="AL23" i="2"/>
  <c r="AL19" i="2"/>
  <c r="AL10" i="2"/>
  <c r="AL22" i="2"/>
  <c r="AL18" i="2"/>
  <c r="AL8" i="2"/>
  <c r="AL25" i="2"/>
  <c r="AL21" i="2"/>
  <c r="AL15" i="2"/>
  <c r="AL12" i="2"/>
  <c r="AL13" i="2"/>
  <c r="AI28" i="2"/>
  <c r="AL14" i="2"/>
  <c r="AL16" i="2"/>
  <c r="X14" i="2"/>
  <c r="X13" i="2"/>
  <c r="M26" i="2"/>
  <c r="N28" i="2" s="1"/>
  <c r="Z17" i="2"/>
  <c r="P12" i="2"/>
  <c r="S16" i="2"/>
  <c r="AO13" i="2" l="1"/>
  <c r="AB33" i="2"/>
  <c r="AO15" i="2"/>
  <c r="AO16" i="2"/>
  <c r="AO18" i="2"/>
  <c r="AO11" i="2"/>
  <c r="AO9" i="2"/>
  <c r="AO17" i="2"/>
  <c r="AO21" i="2"/>
  <c r="AO22" i="2"/>
  <c r="AO20" i="2"/>
  <c r="AO14" i="2"/>
  <c r="AO12" i="2"/>
  <c r="AO25" i="2"/>
  <c r="AO10" i="2"/>
  <c r="AO24" i="2"/>
  <c r="AO8" i="2"/>
  <c r="AO19" i="2"/>
  <c r="AL28" i="2"/>
  <c r="P26" i="2"/>
  <c r="Q28" i="2" s="1"/>
  <c r="Z26" i="2"/>
  <c r="S12" i="2"/>
  <c r="X16" i="2"/>
  <c r="AO28" i="2" l="1"/>
  <c r="AB28" i="2" s="1"/>
  <c r="X12" i="2"/>
  <c r="X26" i="2" s="1"/>
  <c r="X30" i="2" s="1"/>
  <c r="Z30" i="2" s="1"/>
  <c r="Z31" i="2" s="1"/>
  <c r="Z33" i="2" s="1"/>
  <c r="S26" i="2"/>
  <c r="T28" i="2" s="1"/>
</calcChain>
</file>

<file path=xl/sharedStrings.xml><?xml version="1.0" encoding="utf-8"?>
<sst xmlns="http://schemas.openxmlformats.org/spreadsheetml/2006/main" count="544" uniqueCount="116">
  <si>
    <t>Collège Les Tuillières</t>
  </si>
  <si>
    <t>UBS</t>
  </si>
  <si>
    <t>Collège de Grand Champ</t>
  </si>
  <si>
    <t>Divers préavis</t>
  </si>
  <si>
    <t>Taux</t>
  </si>
  <si>
    <t>Objets</t>
  </si>
  <si>
    <t>Etablissements</t>
  </si>
  <si>
    <t>SUVA</t>
  </si>
  <si>
    <t>Comptes CG</t>
  </si>
  <si>
    <t>Nb jours</t>
  </si>
  <si>
    <t>Intérêts courus</t>
  </si>
  <si>
    <t>T</t>
  </si>
  <si>
    <t>A</t>
  </si>
  <si>
    <t>Total</t>
  </si>
  <si>
    <t>Éch. intérêt</t>
  </si>
  <si>
    <t>Amort. trim.</t>
  </si>
  <si>
    <t>Amort. annuel</t>
  </si>
  <si>
    <t>Intérêts</t>
  </si>
  <si>
    <t>nb jour T1</t>
  </si>
  <si>
    <t>nb jour T2</t>
  </si>
  <si>
    <t>nb jour T3</t>
  </si>
  <si>
    <t>nb jour T4</t>
  </si>
  <si>
    <t>Intérêt T1</t>
  </si>
  <si>
    <t>Intérêts payés</t>
  </si>
  <si>
    <t>Sous-total</t>
  </si>
  <si>
    <t>Solde au</t>
  </si>
  <si>
    <t>Intérêt T3</t>
  </si>
  <si>
    <t>Intérêt T2</t>
  </si>
  <si>
    <t>Intérêt T4</t>
  </si>
  <si>
    <t>Immeuble sous les Vignes</t>
  </si>
  <si>
    <t>Postfinance</t>
  </si>
  <si>
    <t>90A</t>
  </si>
  <si>
    <t>N°</t>
  </si>
  <si>
    <t>Intérêts comptabilisé en CG / solde au bilan</t>
  </si>
  <si>
    <t>Début</t>
  </si>
  <si>
    <t>Fin</t>
  </si>
  <si>
    <t>SERVICE DES FINANCES</t>
  </si>
  <si>
    <t>Caisse pension la Poste</t>
  </si>
  <si>
    <t>Swissquote Bank</t>
  </si>
  <si>
    <t>Financement à court terme</t>
  </si>
  <si>
    <t>Taux moyen trimestriel</t>
  </si>
  <si>
    <t>BCV</t>
  </si>
  <si>
    <t>remplacé par</t>
  </si>
  <si>
    <t>1)</t>
  </si>
  <si>
    <t>2)</t>
  </si>
  <si>
    <t>XXXX</t>
  </si>
  <si>
    <t>3)</t>
  </si>
  <si>
    <t>Renouv. Trim.</t>
  </si>
  <si>
    <t>Perrerrets</t>
  </si>
  <si>
    <t>BKB</t>
  </si>
  <si>
    <t>Nouveau</t>
  </si>
  <si>
    <t>Hypothèse: 2mio au 1er trimestre, +3mio chaque trimestre, taux fixe 1.00% à 10 ans</t>
  </si>
  <si>
    <t>A confirmer par le SBU</t>
  </si>
  <si>
    <t>Crédit-cadre BKB, appel par tranche de 1mio</t>
  </si>
  <si>
    <t>cumul</t>
  </si>
  <si>
    <t>Commissions</t>
  </si>
  <si>
    <t>Duration</t>
  </si>
  <si>
    <t>MA budgétée</t>
  </si>
  <si>
    <t>Endettement prévu</t>
  </si>
  <si>
    <t>Endettement au 1.01</t>
  </si>
  <si>
    <t>Invest supputé 2018</t>
  </si>
  <si>
    <t>Ecart</t>
  </si>
  <si>
    <t>Intérêts courus 2018</t>
  </si>
  <si>
    <t>Charge intérêts 2019</t>
  </si>
  <si>
    <t>Taux d'intérêt moyen 2019</t>
  </si>
  <si>
    <t>Endettement supputé 31.12</t>
  </si>
  <si>
    <t>Mouvement fds de roulement</t>
  </si>
  <si>
    <t>?</t>
  </si>
  <si>
    <t>BU 2020</t>
  </si>
  <si>
    <t>BU 2020 Mutations par rapport à 2019</t>
  </si>
  <si>
    <t>Suivi emprunts et intérêts 2020 - Budget</t>
  </si>
  <si>
    <t>BU 2019</t>
  </si>
  <si>
    <t>SBU 2020</t>
  </si>
  <si>
    <t>SBU T4 2019</t>
  </si>
  <si>
    <t>BU 2019 Mutations par rapport à 2018</t>
  </si>
  <si>
    <t>SIE T4 2019</t>
  </si>
  <si>
    <t>SIE 2020</t>
  </si>
  <si>
    <t>Autres T4 2019</t>
  </si>
  <si>
    <t>Autres 2020</t>
  </si>
  <si>
    <t>Invest supputé 2020</t>
  </si>
  <si>
    <t>Intérêts courus 2019</t>
  </si>
  <si>
    <t>9220.XX</t>
  </si>
  <si>
    <t>Thermoréso</t>
  </si>
  <si>
    <t>4)</t>
  </si>
  <si>
    <t>Eglise ?</t>
  </si>
  <si>
    <t>Taux d'intérêt moyen 2020</t>
  </si>
  <si>
    <t>Charge intérêts 2020</t>
  </si>
  <si>
    <t>S</t>
  </si>
  <si>
    <t>pas remplacé</t>
  </si>
  <si>
    <t>Néant pour l'instant</t>
  </si>
  <si>
    <t>BU 2021</t>
  </si>
  <si>
    <t>CT</t>
  </si>
  <si>
    <t>18,12,2020</t>
  </si>
  <si>
    <t>Suivi emprunts et intérêts prévisions 2020</t>
  </si>
  <si>
    <t>Intérêts courus 2020</t>
  </si>
  <si>
    <t>Suivi emprunts et intérêts budget 2021</t>
  </si>
  <si>
    <t>BU 2021 Mutations par rapport à 2020</t>
  </si>
  <si>
    <t>Renouvellement à court terme 3 ou 6 mois</t>
  </si>
  <si>
    <t>Remplacé par</t>
  </si>
  <si>
    <t>A compléter</t>
  </si>
  <si>
    <t>Court terme</t>
  </si>
  <si>
    <t>Long terme</t>
  </si>
  <si>
    <t>220.3223.00</t>
  </si>
  <si>
    <t>220.4221.00</t>
  </si>
  <si>
    <t>Invest supputé 2021</t>
  </si>
  <si>
    <t>WWF + 50% Invest supputés 2020</t>
  </si>
  <si>
    <t>50% Invest supputés 2021</t>
  </si>
  <si>
    <t>Imputation intérêts WWF</t>
  </si>
  <si>
    <t>Patrimoine financier</t>
  </si>
  <si>
    <t>Patrimoine administratif</t>
  </si>
  <si>
    <t>nm</t>
  </si>
  <si>
    <t>9210.47</t>
  </si>
  <si>
    <t>Suivi emprunts et intérêts 2021 - Réel</t>
  </si>
  <si>
    <t>WWF</t>
  </si>
  <si>
    <t>BVG Stiftung</t>
  </si>
  <si>
    <t>Charge intérêts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</si>
</sst>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fr.&quot;\ #,##0.00;[Red]&quot;fr.&quot;\ \-#,##0.00"/>
    <numFmt numFmtId="165" formatCode="_ * #,##0.00_ ;_ * \-#,##0.00_ ;_ * &quot;-&quot;??_ ;_ @_ "/>
    <numFmt numFmtId="166" formatCode="#,##0.00;\-#,##0.00;#"/>
    <numFmt numFmtId="167" formatCode="#,##0;\-#,##0;#"/>
    <numFmt numFmtId="168" formatCode="dd/mm/yy;@"/>
    <numFmt numFmtId="169" formatCode="#,##0.00;\-#,##0.00;#.00"/>
    <numFmt numFmtId="170" formatCode="_ * #,##0_ ;_ * \-#,##0_ ;_ * &quot;-&quot;??_ ;_ @_ 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i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DCDC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3">
    <xf numFmtId="0" fontId="0" fillId="0" borderId="0"/>
    <xf numFmtId="0" fontId="14" fillId="0" borderId="0" applyNumberFormat="0" applyFill="0" applyBorder="0" applyAlignment="0">
      <alignment horizontal="left" indent="1"/>
    </xf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0" applyNumberFormat="0" applyAlignment="0" applyProtection="0"/>
    <xf numFmtId="0" fontId="23" fillId="7" borderId="11" applyNumberFormat="0" applyAlignment="0" applyProtection="0"/>
    <xf numFmtId="0" fontId="24" fillId="7" borderId="10" applyNumberFormat="0" applyAlignment="0" applyProtection="0"/>
    <xf numFmtId="0" fontId="25" fillId="0" borderId="12" applyNumberFormat="0" applyFill="0" applyAlignment="0" applyProtection="0"/>
    <xf numFmtId="0" fontId="26" fillId="8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0" fillId="33" borderId="0" applyNumberFormat="0" applyBorder="0" applyAlignment="0" applyProtection="0"/>
    <xf numFmtId="0" fontId="13" fillId="0" borderId="0"/>
    <xf numFmtId="0" fontId="13" fillId="9" borderId="14" applyNumberFormat="0" applyFont="0" applyAlignment="0" applyProtection="0"/>
    <xf numFmtId="0" fontId="12" fillId="0" borderId="0"/>
    <xf numFmtId="0" fontId="12" fillId="9" borderId="14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4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6" borderId="10" applyNumberFormat="0" applyAlignment="0" applyProtection="0"/>
    <xf numFmtId="0" fontId="39" fillId="7" borderId="11" applyNumberFormat="0" applyAlignment="0" applyProtection="0"/>
    <xf numFmtId="0" fontId="40" fillId="7" borderId="10" applyNumberFormat="0" applyAlignment="0" applyProtection="0"/>
    <xf numFmtId="0" fontId="41" fillId="0" borderId="12" applyNumberFormat="0" applyFill="0" applyAlignment="0" applyProtection="0"/>
    <xf numFmtId="0" fontId="42" fillId="8" borderId="13" applyNumberFormat="0" applyAlignment="0" applyProtection="0"/>
    <xf numFmtId="0" fontId="43" fillId="0" borderId="0" applyNumberFormat="0" applyFill="0" applyBorder="0" applyAlignment="0" applyProtection="0"/>
    <xf numFmtId="0" fontId="10" fillId="9" borderId="14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6" fillId="33" borderId="0" applyNumberFormat="0" applyBorder="0" applyAlignment="0" applyProtection="0"/>
    <xf numFmtId="0" fontId="9" fillId="0" borderId="0"/>
    <xf numFmtId="0" fontId="9" fillId="9" borderId="14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4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4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4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4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4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4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47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47" fillId="0" borderId="0" applyFont="0" applyFill="0" applyBorder="0" applyAlignment="0" applyProtection="0"/>
  </cellStyleXfs>
  <cellXfs count="266">
    <xf numFmtId="0" fontId="0" fillId="0" borderId="0" xfId="0"/>
    <xf numFmtId="4" fontId="48" fillId="0" borderId="0" xfId="0" applyNumberFormat="1" applyFont="1" applyBorder="1" applyAlignment="1">
      <alignment vertical="top"/>
    </xf>
    <xf numFmtId="14" fontId="49" fillId="0" borderId="0" xfId="0" applyNumberFormat="1" applyFont="1" applyBorder="1" applyAlignment="1">
      <alignment horizontal="left" vertical="top"/>
    </xf>
    <xf numFmtId="0" fontId="48" fillId="0" borderId="0" xfId="0" applyFont="1" applyAlignment="1">
      <alignment vertical="top"/>
    </xf>
    <xf numFmtId="0" fontId="48" fillId="0" borderId="0" xfId="0" applyFont="1" applyAlignment="1">
      <alignment horizontal="right" vertical="top"/>
    </xf>
    <xf numFmtId="10" fontId="50" fillId="2" borderId="22" xfId="0" applyNumberFormat="1" applyFont="1" applyFill="1" applyBorder="1" applyAlignment="1">
      <alignment horizontal="center" vertical="top"/>
    </xf>
    <xf numFmtId="0" fontId="48" fillId="0" borderId="2" xfId="0" applyFont="1" applyBorder="1" applyAlignment="1">
      <alignment vertical="top"/>
    </xf>
    <xf numFmtId="10" fontId="50" fillId="2" borderId="27" xfId="0" applyNumberFormat="1" applyFont="1" applyFill="1" applyBorder="1" applyAlignment="1">
      <alignment horizontal="center" vertical="top"/>
    </xf>
    <xf numFmtId="168" fontId="50" fillId="35" borderId="27" xfId="0" applyNumberFormat="1" applyFont="1" applyFill="1" applyBorder="1" applyAlignment="1">
      <alignment horizontal="right" vertical="top" wrapText="1"/>
    </xf>
    <xf numFmtId="0" fontId="50" fillId="38" borderId="27" xfId="0" applyNumberFormat="1" applyFont="1" applyFill="1" applyBorder="1" applyAlignment="1">
      <alignment horizontal="center" vertical="top" wrapText="1"/>
    </xf>
    <xf numFmtId="2" fontId="51" fillId="0" borderId="28" xfId="0" applyNumberFormat="1" applyFont="1" applyFill="1" applyBorder="1" applyAlignment="1">
      <alignment horizontal="center" vertical="top" wrapText="1"/>
    </xf>
    <xf numFmtId="166" fontId="51" fillId="0" borderId="16" xfId="0" applyNumberFormat="1" applyFont="1" applyFill="1" applyBorder="1" applyAlignment="1">
      <alignment horizontal="left" vertical="top"/>
    </xf>
    <xf numFmtId="14" fontId="51" fillId="0" borderId="16" xfId="0" applyNumberFormat="1" applyFont="1" applyFill="1" applyBorder="1" applyAlignment="1">
      <alignment horizontal="center" vertical="top" wrapText="1"/>
    </xf>
    <xf numFmtId="167" fontId="51" fillId="40" borderId="17" xfId="0" applyNumberFormat="1" applyFont="1" applyFill="1" applyBorder="1" applyAlignment="1">
      <alignment horizontal="right" vertical="top" wrapText="1"/>
    </xf>
    <xf numFmtId="167" fontId="51" fillId="0" borderId="17" xfId="0" applyNumberFormat="1" applyFont="1" applyFill="1" applyBorder="1" applyAlignment="1">
      <alignment horizontal="right" vertical="top" wrapText="1"/>
    </xf>
    <xf numFmtId="169" fontId="51" fillId="0" borderId="17" xfId="0" applyNumberFormat="1" applyFont="1" applyFill="1" applyBorder="1" applyAlignment="1">
      <alignment horizontal="right" vertical="top" wrapText="1"/>
    </xf>
    <xf numFmtId="167" fontId="51" fillId="43" borderId="18" xfId="0" applyNumberFormat="1" applyFont="1" applyFill="1" applyBorder="1" applyAlignment="1">
      <alignment horizontal="right" vertical="top" wrapText="1"/>
    </xf>
    <xf numFmtId="167" fontId="51" fillId="44" borderId="18" xfId="0" applyNumberFormat="1" applyFont="1" applyFill="1" applyBorder="1" applyAlignment="1">
      <alignment horizontal="center" vertical="top" wrapText="1"/>
    </xf>
    <xf numFmtId="4" fontId="51" fillId="44" borderId="18" xfId="0" applyNumberFormat="1" applyFont="1" applyFill="1" applyBorder="1" applyAlignment="1">
      <alignment horizontal="right" vertical="top" wrapText="1"/>
    </xf>
    <xf numFmtId="1" fontId="51" fillId="39" borderId="16" xfId="0" applyNumberFormat="1" applyFont="1" applyFill="1" applyBorder="1" applyAlignment="1">
      <alignment horizontal="center" vertical="top" wrapText="1"/>
    </xf>
    <xf numFmtId="4" fontId="51" fillId="37" borderId="16" xfId="0" applyNumberFormat="1" applyFont="1" applyFill="1" applyBorder="1" applyAlignment="1">
      <alignment horizontal="right" vertical="top" wrapText="1"/>
    </xf>
    <xf numFmtId="0" fontId="48" fillId="0" borderId="0" xfId="0" applyFont="1" applyFill="1" applyBorder="1" applyAlignment="1">
      <alignment vertical="top"/>
    </xf>
    <xf numFmtId="167" fontId="51" fillId="40" borderId="16" xfId="0" applyNumberFormat="1" applyFont="1" applyFill="1" applyBorder="1" applyAlignment="1">
      <alignment horizontal="right" vertical="top" wrapText="1"/>
    </xf>
    <xf numFmtId="0" fontId="51" fillId="0" borderId="16" xfId="0" applyNumberFormat="1" applyFont="1" applyFill="1" applyBorder="1" applyAlignment="1">
      <alignment horizontal="center" vertical="top" wrapText="1"/>
    </xf>
    <xf numFmtId="10" fontId="51" fillId="0" borderId="16" xfId="0" applyNumberFormat="1" applyFont="1" applyFill="1" applyBorder="1" applyAlignment="1">
      <alignment horizontal="center" vertical="top"/>
    </xf>
    <xf numFmtId="0" fontId="51" fillId="0" borderId="16" xfId="0" applyNumberFormat="1" applyFont="1" applyFill="1" applyBorder="1" applyAlignment="1">
      <alignment horizontal="center" vertical="top"/>
    </xf>
    <xf numFmtId="0" fontId="51" fillId="0" borderId="16" xfId="0" applyNumberFormat="1" applyFont="1" applyFill="1" applyBorder="1" applyAlignment="1">
      <alignment horizontal="left" vertical="top"/>
    </xf>
    <xf numFmtId="14" fontId="51" fillId="45" borderId="16" xfId="0" applyNumberFormat="1" applyFont="1" applyFill="1" applyBorder="1" applyAlignment="1">
      <alignment horizontal="center" vertical="top" wrapText="1"/>
    </xf>
    <xf numFmtId="0" fontId="51" fillId="0" borderId="28" xfId="0" applyNumberFormat="1" applyFont="1" applyFill="1" applyBorder="1" applyAlignment="1">
      <alignment horizontal="center" vertical="top" wrapText="1"/>
    </xf>
    <xf numFmtId="10" fontId="51" fillId="0" borderId="28" xfId="0" applyNumberFormat="1" applyFont="1" applyFill="1" applyBorder="1" applyAlignment="1">
      <alignment horizontal="center" vertical="top"/>
    </xf>
    <xf numFmtId="0" fontId="51" fillId="0" borderId="28" xfId="0" applyNumberFormat="1" applyFont="1" applyFill="1" applyBorder="1" applyAlignment="1">
      <alignment horizontal="center" vertical="top"/>
    </xf>
    <xf numFmtId="0" fontId="51" fillId="0" borderId="28" xfId="0" applyNumberFormat="1" applyFont="1" applyFill="1" applyBorder="1" applyAlignment="1">
      <alignment horizontal="left" vertical="top"/>
    </xf>
    <xf numFmtId="169" fontId="51" fillId="46" borderId="17" xfId="0" applyNumberFormat="1" applyFont="1" applyFill="1" applyBorder="1" applyAlignment="1">
      <alignment horizontal="right" vertical="top" wrapText="1"/>
    </xf>
    <xf numFmtId="10" fontId="50" fillId="2" borderId="1" xfId="0" applyNumberFormat="1" applyFont="1" applyFill="1" applyBorder="1" applyAlignment="1">
      <alignment horizontal="center" vertical="top"/>
    </xf>
    <xf numFmtId="0" fontId="50" fillId="2" borderId="1" xfId="0" applyNumberFormat="1" applyFont="1" applyFill="1" applyBorder="1" applyAlignment="1">
      <alignment horizontal="left" vertical="top"/>
    </xf>
    <xf numFmtId="166" fontId="50" fillId="2" borderId="1" xfId="0" applyNumberFormat="1" applyFont="1" applyFill="1" applyBorder="1" applyAlignment="1">
      <alignment horizontal="left" vertical="top"/>
    </xf>
    <xf numFmtId="14" fontId="50" fillId="2" borderId="1" xfId="0" applyNumberFormat="1" applyFont="1" applyFill="1" applyBorder="1" applyAlignment="1">
      <alignment horizontal="center" vertical="top" wrapText="1"/>
    </xf>
    <xf numFmtId="167" fontId="50" fillId="35" borderId="1" xfId="0" applyNumberFormat="1" applyFont="1" applyFill="1" applyBorder="1" applyAlignment="1">
      <alignment horizontal="right" vertical="top" wrapText="1"/>
    </xf>
    <xf numFmtId="167" fontId="50" fillId="34" borderId="1" xfId="0" applyNumberFormat="1" applyFont="1" applyFill="1" applyBorder="1" applyAlignment="1">
      <alignment horizontal="right" vertical="top" wrapText="1"/>
    </xf>
    <xf numFmtId="169" fontId="50" fillId="34" borderId="1" xfId="0" applyNumberFormat="1" applyFont="1" applyFill="1" applyBorder="1" applyAlignment="1">
      <alignment horizontal="right" vertical="top" wrapText="1"/>
    </xf>
    <xf numFmtId="166" fontId="50" fillId="42" borderId="4" xfId="0" applyNumberFormat="1" applyFont="1" applyFill="1" applyBorder="1" applyAlignment="1">
      <alignment horizontal="right" vertical="top" wrapText="1"/>
    </xf>
    <xf numFmtId="166" fontId="50" fillId="41" borderId="4" xfId="0" applyNumberFormat="1" applyFont="1" applyFill="1" applyBorder="1" applyAlignment="1">
      <alignment horizontal="right" vertical="top" wrapText="1"/>
    </xf>
    <xf numFmtId="4" fontId="50" fillId="41" borderId="1" xfId="0" applyNumberFormat="1" applyFont="1" applyFill="1" applyBorder="1" applyAlignment="1">
      <alignment horizontal="right" vertical="top" wrapText="1"/>
    </xf>
    <xf numFmtId="14" fontId="50" fillId="38" borderId="1" xfId="0" applyNumberFormat="1" applyFont="1" applyFill="1" applyBorder="1" applyAlignment="1">
      <alignment horizontal="right" vertical="top" wrapText="1"/>
    </xf>
    <xf numFmtId="4" fontId="50" fillId="38" borderId="1" xfId="0" applyNumberFormat="1" applyFont="1" applyFill="1" applyBorder="1" applyAlignment="1">
      <alignment horizontal="right" vertical="top" wrapText="1"/>
    </xf>
    <xf numFmtId="0" fontId="51" fillId="0" borderId="23" xfId="0" applyNumberFormat="1" applyFont="1" applyFill="1" applyBorder="1" applyAlignment="1">
      <alignment horizontal="center" vertical="top" wrapText="1"/>
    </xf>
    <xf numFmtId="10" fontId="51" fillId="0" borderId="23" xfId="0" applyNumberFormat="1" applyFont="1" applyFill="1" applyBorder="1" applyAlignment="1">
      <alignment horizontal="center" vertical="top"/>
    </xf>
    <xf numFmtId="0" fontId="48" fillId="0" borderId="23" xfId="0" applyFont="1" applyFill="1" applyBorder="1" applyAlignment="1">
      <alignment vertical="top"/>
    </xf>
    <xf numFmtId="0" fontId="52" fillId="36" borderId="4" xfId="0" applyFont="1" applyFill="1" applyBorder="1" applyAlignment="1">
      <alignment vertical="top"/>
    </xf>
    <xf numFmtId="169" fontId="50" fillId="45" borderId="1" xfId="0" applyNumberFormat="1" applyFont="1" applyFill="1" applyBorder="1" applyAlignment="1">
      <alignment horizontal="right" vertical="top" wrapText="1"/>
    </xf>
    <xf numFmtId="167" fontId="50" fillId="45" borderId="1" xfId="0" applyNumberFormat="1" applyFont="1" applyFill="1" applyBorder="1" applyAlignment="1">
      <alignment horizontal="right" vertical="top" wrapText="1"/>
    </xf>
    <xf numFmtId="0" fontId="51" fillId="0" borderId="29" xfId="0" applyNumberFormat="1" applyFont="1" applyFill="1" applyBorder="1" applyAlignment="1">
      <alignment vertical="top"/>
    </xf>
    <xf numFmtId="0" fontId="51" fillId="0" borderId="25" xfId="0" applyNumberFormat="1" applyFont="1" applyFill="1" applyBorder="1" applyAlignment="1">
      <alignment vertical="top"/>
    </xf>
    <xf numFmtId="0" fontId="51" fillId="0" borderId="19" xfId="0" applyNumberFormat="1" applyFont="1" applyFill="1" applyBorder="1" applyAlignment="1">
      <alignment vertical="top"/>
    </xf>
    <xf numFmtId="4" fontId="51" fillId="0" borderId="18" xfId="0" applyNumberFormat="1" applyFont="1" applyFill="1" applyBorder="1" applyAlignment="1">
      <alignment horizontal="right" vertical="top" wrapText="1"/>
    </xf>
    <xf numFmtId="1" fontId="51" fillId="0" borderId="16" xfId="0" applyNumberFormat="1" applyFont="1" applyFill="1" applyBorder="1" applyAlignment="1">
      <alignment horizontal="center" vertical="top" wrapText="1"/>
    </xf>
    <xf numFmtId="4" fontId="51" fillId="0" borderId="16" xfId="0" applyNumberFormat="1" applyFont="1" applyFill="1" applyBorder="1" applyAlignment="1">
      <alignment horizontal="right" vertical="top" wrapText="1"/>
    </xf>
    <xf numFmtId="0" fontId="48" fillId="0" borderId="2" xfId="0" applyFont="1" applyFill="1" applyBorder="1" applyAlignment="1">
      <alignment vertical="top"/>
    </xf>
    <xf numFmtId="0" fontId="48" fillId="0" borderId="0" xfId="0" applyNumberFormat="1" applyFont="1" applyFill="1" applyBorder="1" applyAlignment="1">
      <alignment horizontal="left" vertical="top"/>
    </xf>
    <xf numFmtId="10" fontId="51" fillId="0" borderId="0" xfId="0" applyNumberFormat="1" applyFont="1" applyFill="1" applyBorder="1" applyAlignment="1">
      <alignment horizontal="center" vertical="top"/>
    </xf>
    <xf numFmtId="14" fontId="51" fillId="0" borderId="0" xfId="0" applyNumberFormat="1" applyFont="1" applyFill="1" applyBorder="1" applyAlignment="1">
      <alignment horizontal="center" vertical="top" wrapText="1"/>
    </xf>
    <xf numFmtId="167" fontId="51" fillId="0" borderId="0" xfId="0" applyNumberFormat="1" applyFont="1" applyFill="1" applyBorder="1" applyAlignment="1">
      <alignment horizontal="right" vertical="top" wrapText="1"/>
    </xf>
    <xf numFmtId="10" fontId="51" fillId="0" borderId="0" xfId="240" applyNumberFormat="1" applyFont="1" applyFill="1" applyBorder="1" applyAlignment="1">
      <alignment horizontal="right" vertical="top" wrapText="1"/>
    </xf>
    <xf numFmtId="0" fontId="51" fillId="0" borderId="17" xfId="0" applyNumberFormat="1" applyFont="1" applyFill="1" applyBorder="1" applyAlignment="1">
      <alignment vertical="top"/>
    </xf>
    <xf numFmtId="0" fontId="51" fillId="0" borderId="30" xfId="0" applyNumberFormat="1" applyFont="1" applyFill="1" applyBorder="1" applyAlignment="1">
      <alignment vertical="top"/>
    </xf>
    <xf numFmtId="0" fontId="51" fillId="0" borderId="18" xfId="0" applyNumberFormat="1" applyFont="1" applyFill="1" applyBorder="1" applyAlignment="1">
      <alignment vertical="top"/>
    </xf>
    <xf numFmtId="169" fontId="51" fillId="0" borderId="0" xfId="0" applyNumberFormat="1" applyFont="1" applyFill="1" applyBorder="1" applyAlignment="1">
      <alignment horizontal="right" vertical="top" wrapText="1"/>
    </xf>
    <xf numFmtId="167" fontId="51" fillId="0" borderId="0" xfId="0" applyNumberFormat="1" applyFont="1" applyFill="1" applyBorder="1" applyAlignment="1">
      <alignment horizontal="left" vertical="top" wrapText="1"/>
    </xf>
    <xf numFmtId="0" fontId="51" fillId="0" borderId="20" xfId="0" applyNumberFormat="1" applyFont="1" applyFill="1" applyBorder="1" applyAlignment="1">
      <alignment vertical="top"/>
    </xf>
    <xf numFmtId="0" fontId="51" fillId="0" borderId="26" xfId="0" applyNumberFormat="1" applyFont="1" applyFill="1" applyBorder="1" applyAlignment="1">
      <alignment vertical="top"/>
    </xf>
    <xf numFmtId="0" fontId="51" fillId="0" borderId="21" xfId="0" applyNumberFormat="1" applyFont="1" applyFill="1" applyBorder="1" applyAlignment="1">
      <alignment vertical="top"/>
    </xf>
    <xf numFmtId="10" fontId="50" fillId="0" borderId="0" xfId="0" applyNumberFormat="1" applyFont="1" applyFill="1" applyBorder="1" applyAlignment="1">
      <alignment horizontal="center" vertical="top"/>
    </xf>
    <xf numFmtId="14" fontId="50" fillId="0" borderId="0" xfId="0" applyNumberFormat="1" applyFont="1" applyFill="1" applyBorder="1" applyAlignment="1">
      <alignment horizontal="center" vertical="top" wrapText="1"/>
    </xf>
    <xf numFmtId="167" fontId="50" fillId="0" borderId="0" xfId="0" applyNumberFormat="1" applyFont="1" applyFill="1" applyBorder="1" applyAlignment="1">
      <alignment horizontal="right" vertical="top" wrapText="1"/>
    </xf>
    <xf numFmtId="0" fontId="50" fillId="36" borderId="3" xfId="0" applyNumberFormat="1" applyFont="1" applyFill="1" applyBorder="1" applyAlignment="1">
      <alignment vertical="top"/>
    </xf>
    <xf numFmtId="0" fontId="50" fillId="36" borderId="24" xfId="0" applyNumberFormat="1" applyFont="1" applyFill="1" applyBorder="1" applyAlignment="1">
      <alignment vertical="top"/>
    </xf>
    <xf numFmtId="4" fontId="50" fillId="36" borderId="24" xfId="0" applyNumberFormat="1" applyFont="1" applyFill="1" applyBorder="1" applyAlignment="1">
      <alignment horizontal="right" vertical="top" wrapText="1"/>
    </xf>
    <xf numFmtId="14" fontId="50" fillId="36" borderId="4" xfId="0" applyNumberFormat="1" applyFont="1" applyFill="1" applyBorder="1" applyAlignment="1">
      <alignment horizontal="right" vertical="top" wrapText="1"/>
    </xf>
    <xf numFmtId="4" fontId="50" fillId="36" borderId="1" xfId="0" applyNumberFormat="1" applyFont="1" applyFill="1" applyBorder="1" applyAlignment="1">
      <alignment horizontal="right" vertical="top" wrapText="1"/>
    </xf>
    <xf numFmtId="0" fontId="51" fillId="0" borderId="23" xfId="0" applyFont="1" applyBorder="1" applyAlignment="1">
      <alignment horizontal="left" vertical="top"/>
    </xf>
    <xf numFmtId="0" fontId="48" fillId="0" borderId="23" xfId="0" applyFont="1" applyBorder="1" applyAlignment="1">
      <alignment horizontal="right" vertical="top"/>
    </xf>
    <xf numFmtId="0" fontId="48" fillId="0" borderId="23" xfId="0" applyFont="1" applyBorder="1" applyAlignment="1">
      <alignment vertical="top"/>
    </xf>
    <xf numFmtId="4" fontId="51" fillId="0" borderId="23" xfId="0" applyNumberFormat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left" vertical="top"/>
    </xf>
    <xf numFmtId="164" fontId="52" fillId="0" borderId="0" xfId="0" applyNumberFormat="1" applyFont="1" applyBorder="1" applyAlignment="1">
      <alignment horizontal="right" vertical="top"/>
    </xf>
    <xf numFmtId="0" fontId="52" fillId="0" borderId="0" xfId="0" applyFont="1" applyBorder="1" applyAlignment="1">
      <alignment vertical="top"/>
    </xf>
    <xf numFmtId="10" fontId="50" fillId="0" borderId="0" xfId="240" applyNumberFormat="1" applyFont="1" applyFill="1" applyBorder="1" applyAlignment="1">
      <alignment horizontal="right" vertical="top" wrapText="1"/>
    </xf>
    <xf numFmtId="4" fontId="48" fillId="0" borderId="0" xfId="0" applyNumberFormat="1" applyFont="1" applyAlignment="1">
      <alignment vertical="top"/>
    </xf>
    <xf numFmtId="164" fontId="48" fillId="0" borderId="0" xfId="0" applyNumberFormat="1" applyFont="1" applyAlignment="1">
      <alignment horizontal="right" vertical="top"/>
    </xf>
    <xf numFmtId="2" fontId="51" fillId="45" borderId="28" xfId="0" applyNumberFormat="1" applyFont="1" applyFill="1" applyBorder="1" applyAlignment="1">
      <alignment horizontal="center" vertical="top" wrapText="1"/>
    </xf>
    <xf numFmtId="10" fontId="51" fillId="45" borderId="16" xfId="0" applyNumberFormat="1" applyFont="1" applyFill="1" applyBorder="1" applyAlignment="1">
      <alignment horizontal="center" vertical="top"/>
    </xf>
    <xf numFmtId="166" fontId="51" fillId="45" borderId="16" xfId="0" applyNumberFormat="1" applyFont="1" applyFill="1" applyBorder="1" applyAlignment="1">
      <alignment horizontal="left" vertical="top"/>
    </xf>
    <xf numFmtId="0" fontId="54" fillId="0" borderId="0" xfId="0" applyFont="1" applyAlignment="1">
      <alignment vertical="top"/>
    </xf>
    <xf numFmtId="0" fontId="51" fillId="45" borderId="28" xfId="0" applyNumberFormat="1" applyFont="1" applyFill="1" applyBorder="1" applyAlignment="1">
      <alignment horizontal="center" vertical="top"/>
    </xf>
    <xf numFmtId="0" fontId="51" fillId="45" borderId="28" xfId="0" applyNumberFormat="1" applyFont="1" applyFill="1" applyBorder="1" applyAlignment="1">
      <alignment horizontal="left" vertical="top"/>
    </xf>
    <xf numFmtId="0" fontId="48" fillId="0" borderId="5" xfId="0" applyFont="1" applyBorder="1" applyAlignment="1">
      <alignment vertical="top"/>
    </xf>
    <xf numFmtId="4" fontId="48" fillId="0" borderId="23" xfId="0" applyNumberFormat="1" applyFont="1" applyBorder="1" applyAlignment="1">
      <alignment vertical="top"/>
    </xf>
    <xf numFmtId="0" fontId="48" fillId="0" borderId="6" xfId="0" applyFont="1" applyBorder="1" applyAlignment="1">
      <alignment horizontal="right" vertical="top"/>
    </xf>
    <xf numFmtId="0" fontId="48" fillId="0" borderId="31" xfId="0" applyFont="1" applyBorder="1" applyAlignment="1">
      <alignment vertical="top"/>
    </xf>
    <xf numFmtId="0" fontId="48" fillId="0" borderId="32" xfId="0" applyFont="1" applyBorder="1" applyAlignment="1">
      <alignment vertical="top"/>
    </xf>
    <xf numFmtId="0" fontId="48" fillId="0" borderId="33" xfId="0" applyFont="1" applyBorder="1" applyAlignment="1">
      <alignment vertical="top"/>
    </xf>
    <xf numFmtId="0" fontId="48" fillId="0" borderId="34" xfId="0" applyFont="1" applyBorder="1" applyAlignment="1">
      <alignment vertical="top"/>
    </xf>
    <xf numFmtId="0" fontId="48" fillId="0" borderId="0" xfId="0" applyFont="1" applyFill="1" applyBorder="1" applyAlignment="1">
      <alignment horizontal="left" vertical="top"/>
    </xf>
    <xf numFmtId="167" fontId="48" fillId="0" borderId="0" xfId="0" applyNumberFormat="1" applyFont="1" applyFill="1" applyBorder="1" applyAlignment="1">
      <alignment vertical="top"/>
    </xf>
    <xf numFmtId="170" fontId="48" fillId="0" borderId="0" xfId="241" applyNumberFormat="1" applyFont="1" applyAlignment="1">
      <alignment vertical="top"/>
    </xf>
    <xf numFmtId="2" fontId="51" fillId="0" borderId="0" xfId="0" applyNumberFormat="1" applyFont="1" applyFill="1" applyBorder="1" applyAlignment="1">
      <alignment horizontal="center" vertical="top" wrapText="1"/>
    </xf>
    <xf numFmtId="166" fontId="51" fillId="0" borderId="0" xfId="0" applyNumberFormat="1" applyFont="1" applyFill="1" applyBorder="1" applyAlignment="1">
      <alignment horizontal="left" vertical="top"/>
    </xf>
    <xf numFmtId="0" fontId="48" fillId="0" borderId="0" xfId="0" applyFont="1" applyBorder="1" applyAlignment="1">
      <alignment vertical="top"/>
    </xf>
    <xf numFmtId="0" fontId="52" fillId="0" borderId="0" xfId="0" applyFont="1" applyBorder="1" applyAlignment="1">
      <alignment horizontal="center" vertical="top"/>
    </xf>
    <xf numFmtId="10" fontId="48" fillId="0" borderId="0" xfId="0" applyNumberFormat="1" applyFont="1" applyBorder="1" applyAlignment="1">
      <alignment vertical="top"/>
    </xf>
    <xf numFmtId="170" fontId="48" fillId="0" borderId="0" xfId="241" applyNumberFormat="1" applyFont="1" applyBorder="1" applyAlignment="1">
      <alignment vertical="top"/>
    </xf>
    <xf numFmtId="0" fontId="51" fillId="0" borderId="0" xfId="0" applyNumberFormat="1" applyFont="1" applyFill="1" applyBorder="1" applyAlignment="1">
      <alignment horizontal="left" vertical="top"/>
    </xf>
    <xf numFmtId="0" fontId="51" fillId="0" borderId="0" xfId="0" applyNumberFormat="1" applyFont="1" applyFill="1" applyBorder="1" applyAlignment="1">
      <alignment horizontal="center" vertical="top"/>
    </xf>
    <xf numFmtId="170" fontId="52" fillId="0" borderId="0" xfId="241" applyNumberFormat="1" applyFont="1" applyBorder="1" applyAlignment="1">
      <alignment vertical="top"/>
    </xf>
    <xf numFmtId="10" fontId="48" fillId="0" borderId="0" xfId="240" applyNumberFormat="1" applyFont="1" applyFill="1" applyBorder="1" applyAlignment="1">
      <alignment vertical="top"/>
    </xf>
    <xf numFmtId="10" fontId="48" fillId="0" borderId="0" xfId="0" applyNumberFormat="1" applyFont="1" applyFill="1" applyBorder="1" applyAlignment="1">
      <alignment vertical="top"/>
    </xf>
    <xf numFmtId="10" fontId="52" fillId="47" borderId="0" xfId="240" applyNumberFormat="1" applyFont="1" applyFill="1" applyAlignment="1">
      <alignment vertical="top"/>
    </xf>
    <xf numFmtId="165" fontId="48" fillId="0" borderId="0" xfId="241" applyFont="1" applyAlignment="1">
      <alignment vertical="top"/>
    </xf>
    <xf numFmtId="169" fontId="51" fillId="47" borderId="17" xfId="0" applyNumberFormat="1" applyFont="1" applyFill="1" applyBorder="1" applyAlignment="1">
      <alignment horizontal="right" vertical="top" wrapText="1"/>
    </xf>
    <xf numFmtId="2" fontId="51" fillId="0" borderId="16" xfId="0" applyNumberFormat="1" applyFont="1" applyFill="1" applyBorder="1" applyAlignment="1">
      <alignment horizontal="center" vertical="top" wrapText="1"/>
    </xf>
    <xf numFmtId="169" fontId="51" fillId="45" borderId="17" xfId="0" applyNumberFormat="1" applyFont="1" applyFill="1" applyBorder="1" applyAlignment="1">
      <alignment horizontal="right" vertical="top" wrapText="1"/>
    </xf>
    <xf numFmtId="14" fontId="51" fillId="48" borderId="16" xfId="0" applyNumberFormat="1" applyFont="1" applyFill="1" applyBorder="1" applyAlignment="1">
      <alignment horizontal="center" vertical="top" wrapText="1"/>
    </xf>
    <xf numFmtId="10" fontId="50" fillId="2" borderId="22" xfId="0" applyNumberFormat="1" applyFont="1" applyFill="1" applyBorder="1" applyAlignment="1">
      <alignment horizontal="center" vertical="top"/>
    </xf>
    <xf numFmtId="10" fontId="50" fillId="2" borderId="27" xfId="0" applyNumberFormat="1" applyFont="1" applyFill="1" applyBorder="1" applyAlignment="1">
      <alignment horizontal="center" vertical="top"/>
    </xf>
    <xf numFmtId="170" fontId="52" fillId="0" borderId="0" xfId="0" applyNumberFormat="1" applyFont="1" applyAlignment="1">
      <alignment vertical="top"/>
    </xf>
    <xf numFmtId="0" fontId="52" fillId="0" borderId="0" xfId="0" applyFont="1" applyAlignment="1">
      <alignment vertical="top"/>
    </xf>
    <xf numFmtId="168" fontId="50" fillId="35" borderId="1" xfId="0" applyNumberFormat="1" applyFont="1" applyFill="1" applyBorder="1" applyAlignment="1">
      <alignment horizontal="right" vertical="top" wrapText="1"/>
    </xf>
    <xf numFmtId="4" fontId="48" fillId="0" borderId="35" xfId="0" applyNumberFormat="1" applyFont="1" applyBorder="1" applyAlignment="1">
      <alignment vertical="top"/>
    </xf>
    <xf numFmtId="2" fontId="51" fillId="0" borderId="28" xfId="0" applyNumberFormat="1" applyFont="1" applyBorder="1" applyAlignment="1">
      <alignment horizontal="center" vertical="top" wrapText="1"/>
    </xf>
    <xf numFmtId="10" fontId="51" fillId="0" borderId="16" xfId="0" applyNumberFormat="1" applyFont="1" applyBorder="1" applyAlignment="1">
      <alignment horizontal="center" vertical="top"/>
    </xf>
    <xf numFmtId="166" fontId="51" fillId="0" borderId="16" xfId="0" applyNumberFormat="1" applyFont="1" applyBorder="1" applyAlignment="1">
      <alignment horizontal="left" vertical="top"/>
    </xf>
    <xf numFmtId="14" fontId="51" fillId="0" borderId="16" xfId="0" applyNumberFormat="1" applyFont="1" applyBorder="1" applyAlignment="1">
      <alignment horizontal="center" vertical="top" wrapText="1"/>
    </xf>
    <xf numFmtId="167" fontId="51" fillId="0" borderId="17" xfId="0" applyNumberFormat="1" applyFont="1" applyBorder="1" applyAlignment="1">
      <alignment horizontal="right" vertical="top" wrapText="1"/>
    </xf>
    <xf numFmtId="169" fontId="51" fillId="0" borderId="17" xfId="0" applyNumberFormat="1" applyFont="1" applyBorder="1" applyAlignment="1">
      <alignment horizontal="right" vertical="top" wrapText="1"/>
    </xf>
    <xf numFmtId="10" fontId="48" fillId="0" borderId="0" xfId="240" applyNumberFormat="1" applyFont="1" applyAlignment="1">
      <alignment vertical="top"/>
    </xf>
    <xf numFmtId="2" fontId="51" fillId="0" borderId="16" xfId="0" applyNumberFormat="1" applyFont="1" applyBorder="1" applyAlignment="1">
      <alignment horizontal="center" vertical="top" wrapText="1"/>
    </xf>
    <xf numFmtId="4" fontId="47" fillId="0" borderId="0" xfId="0" applyNumberFormat="1" applyFont="1"/>
    <xf numFmtId="10" fontId="50" fillId="2" borderId="22" xfId="0" applyNumberFormat="1" applyFont="1" applyFill="1" applyBorder="1" applyAlignment="1">
      <alignment horizontal="center" vertical="top"/>
    </xf>
    <xf numFmtId="10" fontId="50" fillId="2" borderId="27" xfId="0" applyNumberFormat="1" applyFont="1" applyFill="1" applyBorder="1" applyAlignment="1">
      <alignment horizontal="center" vertical="top"/>
    </xf>
    <xf numFmtId="10" fontId="56" fillId="0" borderId="16" xfId="0" applyNumberFormat="1" applyFont="1" applyFill="1" applyBorder="1" applyAlignment="1">
      <alignment horizontal="center" vertical="top"/>
    </xf>
    <xf numFmtId="166" fontId="56" fillId="0" borderId="16" xfId="0" applyNumberFormat="1" applyFont="1" applyBorder="1" applyAlignment="1">
      <alignment horizontal="left" vertical="top"/>
    </xf>
    <xf numFmtId="14" fontId="56" fillId="0" borderId="16" xfId="0" applyNumberFormat="1" applyFont="1" applyBorder="1" applyAlignment="1">
      <alignment horizontal="center" vertical="top" wrapText="1"/>
    </xf>
    <xf numFmtId="14" fontId="56" fillId="0" borderId="16" xfId="0" applyNumberFormat="1" applyFont="1" applyFill="1" applyBorder="1" applyAlignment="1">
      <alignment horizontal="center" vertical="top" wrapText="1"/>
    </xf>
    <xf numFmtId="0" fontId="56" fillId="0" borderId="16" xfId="0" applyNumberFormat="1" applyFont="1" applyFill="1" applyBorder="1" applyAlignment="1">
      <alignment horizontal="center" vertical="top" wrapText="1"/>
    </xf>
    <xf numFmtId="0" fontId="56" fillId="0" borderId="16" xfId="0" applyNumberFormat="1" applyFont="1" applyFill="1" applyBorder="1" applyAlignment="1">
      <alignment horizontal="center" vertical="top"/>
    </xf>
    <xf numFmtId="0" fontId="56" fillId="0" borderId="16" xfId="0" applyNumberFormat="1" applyFont="1" applyFill="1" applyBorder="1" applyAlignment="1">
      <alignment horizontal="left" vertical="top"/>
    </xf>
    <xf numFmtId="166" fontId="56" fillId="0" borderId="16" xfId="0" applyNumberFormat="1" applyFont="1" applyFill="1" applyBorder="1" applyAlignment="1">
      <alignment horizontal="left" vertical="top"/>
    </xf>
    <xf numFmtId="0" fontId="56" fillId="0" borderId="28" xfId="0" applyNumberFormat="1" applyFont="1" applyFill="1" applyBorder="1" applyAlignment="1">
      <alignment horizontal="center" vertical="top"/>
    </xf>
    <xf numFmtId="165" fontId="48" fillId="0" borderId="0" xfId="241" applyFont="1" applyAlignment="1">
      <alignment horizontal="right" vertical="top"/>
    </xf>
    <xf numFmtId="165" fontId="52" fillId="0" borderId="0" xfId="0" applyNumberFormat="1" applyFont="1" applyAlignment="1">
      <alignment vertical="top"/>
    </xf>
    <xf numFmtId="0" fontId="54" fillId="45" borderId="0" xfId="0" applyFont="1" applyFill="1" applyAlignment="1">
      <alignment vertical="top"/>
    </xf>
    <xf numFmtId="0" fontId="48" fillId="45" borderId="0" xfId="0" applyFont="1" applyFill="1" applyAlignment="1">
      <alignment vertical="top"/>
    </xf>
    <xf numFmtId="167" fontId="50" fillId="45" borderId="0" xfId="0" applyNumberFormat="1" applyFont="1" applyFill="1" applyBorder="1" applyAlignment="1">
      <alignment horizontal="right" vertical="top" wrapText="1"/>
    </xf>
    <xf numFmtId="2" fontId="51" fillId="45" borderId="0" xfId="0" applyNumberFormat="1" applyFont="1" applyFill="1" applyBorder="1" applyAlignment="1">
      <alignment horizontal="center" vertical="top" wrapText="1"/>
    </xf>
    <xf numFmtId="10" fontId="51" fillId="45" borderId="0" xfId="0" applyNumberFormat="1" applyFont="1" applyFill="1" applyBorder="1" applyAlignment="1">
      <alignment horizontal="center" vertical="top"/>
    </xf>
    <xf numFmtId="166" fontId="51" fillId="45" borderId="0" xfId="0" applyNumberFormat="1" applyFont="1" applyFill="1" applyBorder="1" applyAlignment="1">
      <alignment horizontal="left" vertical="top"/>
    </xf>
    <xf numFmtId="14" fontId="51" fillId="45" borderId="0" xfId="0" applyNumberFormat="1" applyFont="1" applyFill="1" applyBorder="1" applyAlignment="1">
      <alignment horizontal="center" vertical="top" wrapText="1"/>
    </xf>
    <xf numFmtId="167" fontId="51" fillId="45" borderId="0" xfId="0" applyNumberFormat="1" applyFont="1" applyFill="1" applyBorder="1" applyAlignment="1">
      <alignment horizontal="right" vertical="top" wrapText="1"/>
    </xf>
    <xf numFmtId="0" fontId="48" fillId="45" borderId="0" xfId="0" applyFont="1" applyFill="1" applyBorder="1" applyAlignment="1">
      <alignment vertical="top"/>
    </xf>
    <xf numFmtId="0" fontId="51" fillId="45" borderId="0" xfId="0" applyNumberFormat="1" applyFont="1" applyFill="1" applyBorder="1" applyAlignment="1">
      <alignment horizontal="center" vertical="top"/>
    </xf>
    <xf numFmtId="0" fontId="51" fillId="45" borderId="0" xfId="0" applyNumberFormat="1" applyFont="1" applyFill="1" applyBorder="1" applyAlignment="1">
      <alignment horizontal="left" vertical="top"/>
    </xf>
    <xf numFmtId="3" fontId="48" fillId="0" borderId="0" xfId="0" applyNumberFormat="1" applyFont="1" applyBorder="1" applyAlignment="1">
      <alignment vertical="top"/>
    </xf>
    <xf numFmtId="10" fontId="48" fillId="0" borderId="0" xfId="240" applyNumberFormat="1" applyFont="1" applyBorder="1" applyAlignment="1">
      <alignment vertical="top"/>
    </xf>
    <xf numFmtId="167" fontId="48" fillId="0" borderId="0" xfId="0" applyNumberFormat="1" applyFont="1" applyAlignment="1">
      <alignment vertical="top"/>
    </xf>
    <xf numFmtId="10" fontId="50" fillId="2" borderId="22" xfId="0" applyNumberFormat="1" applyFont="1" applyFill="1" applyBorder="1" applyAlignment="1">
      <alignment horizontal="center" vertical="top"/>
    </xf>
    <xf numFmtId="10" fontId="50" fillId="2" borderId="27" xfId="0" applyNumberFormat="1" applyFont="1" applyFill="1" applyBorder="1" applyAlignment="1">
      <alignment horizontal="center" vertical="top"/>
    </xf>
    <xf numFmtId="4" fontId="48" fillId="0" borderId="37" xfId="0" applyNumberFormat="1" applyFont="1" applyBorder="1" applyAlignment="1">
      <alignment vertical="top"/>
    </xf>
    <xf numFmtId="3" fontId="48" fillId="0" borderId="37" xfId="0" applyNumberFormat="1" applyFont="1" applyBorder="1" applyAlignment="1">
      <alignment vertical="top"/>
    </xf>
    <xf numFmtId="0" fontId="48" fillId="0" borderId="37" xfId="0" applyFont="1" applyBorder="1" applyAlignment="1">
      <alignment horizontal="right" vertical="top"/>
    </xf>
    <xf numFmtId="0" fontId="48" fillId="0" borderId="38" xfId="0" applyFont="1" applyBorder="1" applyAlignment="1">
      <alignment horizontal="right" vertical="top"/>
    </xf>
    <xf numFmtId="0" fontId="48" fillId="0" borderId="39" xfId="0" applyFont="1" applyBorder="1" applyAlignment="1">
      <alignment vertical="top"/>
    </xf>
    <xf numFmtId="0" fontId="48" fillId="0" borderId="40" xfId="0" applyFont="1" applyBorder="1" applyAlignment="1">
      <alignment horizontal="right" vertical="top"/>
    </xf>
    <xf numFmtId="0" fontId="48" fillId="0" borderId="41" xfId="0" applyFont="1" applyBorder="1" applyAlignment="1">
      <alignment vertical="top"/>
    </xf>
    <xf numFmtId="0" fontId="48" fillId="0" borderId="42" xfId="0" applyFont="1" applyBorder="1" applyAlignment="1">
      <alignment vertical="top"/>
    </xf>
    <xf numFmtId="3" fontId="48" fillId="0" borderId="42" xfId="0" applyNumberFormat="1" applyFont="1" applyBorder="1" applyAlignment="1">
      <alignment vertical="top"/>
    </xf>
    <xf numFmtId="0" fontId="48" fillId="0" borderId="43" xfId="0" applyFont="1" applyBorder="1" applyAlignment="1">
      <alignment horizontal="right" vertical="top"/>
    </xf>
    <xf numFmtId="4" fontId="52" fillId="0" borderId="36" xfId="0" applyNumberFormat="1" applyFont="1" applyBorder="1" applyAlignment="1">
      <alignment vertical="top"/>
    </xf>
    <xf numFmtId="14" fontId="49" fillId="0" borderId="0" xfId="0" applyNumberFormat="1" applyFont="1" applyAlignment="1">
      <alignment horizontal="left" vertical="top"/>
    </xf>
    <xf numFmtId="0" fontId="50" fillId="38" borderId="27" xfId="0" applyFont="1" applyFill="1" applyBorder="1" applyAlignment="1">
      <alignment horizontal="center" vertical="top" wrapText="1"/>
    </xf>
    <xf numFmtId="0" fontId="51" fillId="0" borderId="16" xfId="0" applyFont="1" applyBorder="1" applyAlignment="1">
      <alignment horizontal="center" vertical="top" wrapText="1"/>
    </xf>
    <xf numFmtId="0" fontId="51" fillId="45" borderId="16" xfId="0" applyFont="1" applyFill="1" applyBorder="1" applyAlignment="1">
      <alignment horizontal="center" vertical="top" wrapText="1"/>
    </xf>
    <xf numFmtId="0" fontId="51" fillId="0" borderId="16" xfId="0" applyFont="1" applyBorder="1" applyAlignment="1">
      <alignment horizontal="center" vertical="top"/>
    </xf>
    <xf numFmtId="0" fontId="51" fillId="0" borderId="16" xfId="0" applyFont="1" applyBorder="1" applyAlignment="1">
      <alignment horizontal="left" vertical="top"/>
    </xf>
    <xf numFmtId="10" fontId="51" fillId="0" borderId="28" xfId="0" applyNumberFormat="1" applyFont="1" applyBorder="1" applyAlignment="1">
      <alignment horizontal="center" vertical="top"/>
    </xf>
    <xf numFmtId="0" fontId="51" fillId="0" borderId="28" xfId="0" applyFont="1" applyBorder="1" applyAlignment="1">
      <alignment horizontal="center" vertical="top"/>
    </xf>
    <xf numFmtId="0" fontId="51" fillId="0" borderId="28" xfId="0" applyFont="1" applyBorder="1" applyAlignment="1">
      <alignment horizontal="center" vertical="top" wrapText="1"/>
    </xf>
    <xf numFmtId="0" fontId="51" fillId="0" borderId="28" xfId="0" applyFont="1" applyBorder="1" applyAlignment="1">
      <alignment horizontal="left" vertical="top"/>
    </xf>
    <xf numFmtId="0" fontId="50" fillId="2" borderId="1" xfId="0" applyFont="1" applyFill="1" applyBorder="1" applyAlignment="1">
      <alignment horizontal="left" vertical="top"/>
    </xf>
    <xf numFmtId="0" fontId="51" fillId="0" borderId="23" xfId="0" applyFont="1" applyBorder="1" applyAlignment="1">
      <alignment horizontal="center" vertical="top" wrapText="1"/>
    </xf>
    <xf numFmtId="10" fontId="51" fillId="0" borderId="23" xfId="0" applyNumberFormat="1" applyFont="1" applyBorder="1" applyAlignment="1">
      <alignment horizontal="center" vertical="top"/>
    </xf>
    <xf numFmtId="0" fontId="48" fillId="0" borderId="0" xfId="0" applyFont="1" applyAlignment="1">
      <alignment horizontal="left" vertical="top"/>
    </xf>
    <xf numFmtId="10" fontId="51" fillId="0" borderId="0" xfId="0" applyNumberFormat="1" applyFont="1" applyAlignment="1">
      <alignment horizontal="center" vertical="top"/>
    </xf>
    <xf numFmtId="14" fontId="51" fillId="0" borderId="0" xfId="0" applyNumberFormat="1" applyFont="1" applyAlignment="1">
      <alignment horizontal="center" vertical="top" wrapText="1"/>
    </xf>
    <xf numFmtId="167" fontId="51" fillId="0" borderId="0" xfId="0" applyNumberFormat="1" applyFont="1" applyAlignment="1">
      <alignment horizontal="right" vertical="top" wrapText="1"/>
    </xf>
    <xf numFmtId="10" fontId="48" fillId="0" borderId="0" xfId="0" applyNumberFormat="1" applyFont="1" applyAlignment="1">
      <alignment vertical="top"/>
    </xf>
    <xf numFmtId="169" fontId="51" fillId="0" borderId="0" xfId="0" applyNumberFormat="1" applyFont="1" applyAlignment="1">
      <alignment horizontal="right" vertical="top" wrapText="1"/>
    </xf>
    <xf numFmtId="167" fontId="51" fillId="0" borderId="0" xfId="0" applyNumberFormat="1" applyFont="1" applyAlignment="1">
      <alignment horizontal="left" vertical="top" wrapText="1"/>
    </xf>
    <xf numFmtId="10" fontId="50" fillId="0" borderId="0" xfId="0" applyNumberFormat="1" applyFont="1" applyAlignment="1">
      <alignment horizontal="center" vertical="top"/>
    </xf>
    <xf numFmtId="14" fontId="50" fillId="0" borderId="0" xfId="0" applyNumberFormat="1" applyFont="1" applyAlignment="1">
      <alignment horizontal="center" vertical="top" wrapText="1"/>
    </xf>
    <xf numFmtId="167" fontId="50" fillId="0" borderId="0" xfId="0" applyNumberFormat="1" applyFont="1" applyAlignment="1">
      <alignment horizontal="right" vertical="top" wrapText="1"/>
    </xf>
    <xf numFmtId="0" fontId="50" fillId="36" borderId="3" xfId="0" applyFont="1" applyFill="1" applyBorder="1" applyAlignment="1">
      <alignment vertical="top"/>
    </xf>
    <xf numFmtId="0" fontId="50" fillId="36" borderId="24" xfId="0" applyFont="1" applyFill="1" applyBorder="1" applyAlignment="1">
      <alignment vertical="top"/>
    </xf>
    <xf numFmtId="4" fontId="51" fillId="0" borderId="23" xfId="0" applyNumberFormat="1" applyFont="1" applyBorder="1" applyAlignment="1">
      <alignment horizontal="right" vertical="top" wrapText="1"/>
    </xf>
    <xf numFmtId="0" fontId="50" fillId="0" borderId="0" xfId="0" applyFont="1" applyAlignment="1">
      <alignment horizontal="left" vertical="top"/>
    </xf>
    <xf numFmtId="164" fontId="52" fillId="0" borderId="0" xfId="0" applyNumberFormat="1" applyFont="1" applyAlignment="1">
      <alignment horizontal="right" vertical="top"/>
    </xf>
    <xf numFmtId="2" fontId="51" fillId="0" borderId="0" xfId="0" applyNumberFormat="1" applyFont="1" applyAlignment="1">
      <alignment horizontal="center" vertical="top" wrapText="1"/>
    </xf>
    <xf numFmtId="166" fontId="51" fillId="0" borderId="0" xfId="0" applyNumberFormat="1" applyFont="1" applyAlignment="1">
      <alignment horizontal="left" vertical="top"/>
    </xf>
    <xf numFmtId="0" fontId="52" fillId="0" borderId="0" xfId="0" applyFont="1" applyAlignment="1">
      <alignment horizontal="center" vertical="top"/>
    </xf>
    <xf numFmtId="170" fontId="48" fillId="0" borderId="0" xfId="242" applyNumberFormat="1" applyFont="1" applyBorder="1" applyAlignment="1">
      <alignment vertical="top"/>
    </xf>
    <xf numFmtId="170" fontId="48" fillId="0" borderId="0" xfId="242" applyNumberFormat="1" applyFont="1" applyAlignment="1">
      <alignment vertical="top"/>
    </xf>
    <xf numFmtId="0" fontId="51" fillId="0" borderId="0" xfId="0" applyFont="1" applyAlignment="1">
      <alignment horizontal="center" vertical="top"/>
    </xf>
    <xf numFmtId="0" fontId="51" fillId="0" borderId="0" xfId="0" applyFont="1" applyAlignment="1">
      <alignment horizontal="left" vertical="top"/>
    </xf>
    <xf numFmtId="170" fontId="52" fillId="0" borderId="0" xfId="242" applyNumberFormat="1" applyFont="1" applyBorder="1" applyAlignment="1">
      <alignment vertical="top"/>
    </xf>
    <xf numFmtId="0" fontId="56" fillId="0" borderId="29" xfId="0" applyFont="1" applyBorder="1" applyAlignment="1">
      <alignment vertical="top"/>
    </xf>
    <xf numFmtId="0" fontId="56" fillId="0" borderId="25" xfId="0" applyFont="1" applyBorder="1" applyAlignment="1">
      <alignment vertical="top"/>
    </xf>
    <xf numFmtId="0" fontId="56" fillId="0" borderId="19" xfId="0" applyFont="1" applyBorder="1" applyAlignment="1">
      <alignment vertical="top"/>
    </xf>
    <xf numFmtId="4" fontId="56" fillId="0" borderId="18" xfId="0" applyNumberFormat="1" applyFont="1" applyBorder="1" applyAlignment="1">
      <alignment horizontal="right" vertical="top" wrapText="1"/>
    </xf>
    <xf numFmtId="1" fontId="56" fillId="0" borderId="16" xfId="0" applyNumberFormat="1" applyFont="1" applyBorder="1" applyAlignment="1">
      <alignment horizontal="center" vertical="top" wrapText="1"/>
    </xf>
    <xf numFmtId="4" fontId="56" fillId="0" borderId="16" xfId="0" applyNumberFormat="1" applyFont="1" applyBorder="1" applyAlignment="1">
      <alignment horizontal="right" vertical="top" wrapText="1"/>
    </xf>
    <xf numFmtId="0" fontId="57" fillId="0" borderId="0" xfId="0" applyFont="1" applyAlignment="1">
      <alignment vertical="top"/>
    </xf>
    <xf numFmtId="10" fontId="57" fillId="0" borderId="0" xfId="0" applyNumberFormat="1" applyFont="1" applyAlignment="1">
      <alignment vertical="top"/>
    </xf>
    <xf numFmtId="0" fontId="56" fillId="0" borderId="17" xfId="0" applyFont="1" applyBorder="1" applyAlignment="1">
      <alignment vertical="top"/>
    </xf>
    <xf numFmtId="0" fontId="56" fillId="0" borderId="30" xfId="0" applyFont="1" applyBorder="1" applyAlignment="1">
      <alignment vertical="top"/>
    </xf>
    <xf numFmtId="0" fontId="56" fillId="0" borderId="18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1" xfId="0" applyFont="1" applyBorder="1" applyAlignment="1">
      <alignment vertical="top"/>
    </xf>
    <xf numFmtId="0" fontId="50" fillId="42" borderId="22" xfId="0" applyFont="1" applyFill="1" applyBorder="1" applyAlignment="1">
      <alignment horizontal="center" vertical="top" wrapText="1"/>
    </xf>
    <xf numFmtId="0" fontId="50" fillId="42" borderId="27" xfId="0" applyFont="1" applyFill="1" applyBorder="1" applyAlignment="1">
      <alignment horizontal="center" vertical="top" wrapText="1"/>
    </xf>
    <xf numFmtId="0" fontId="50" fillId="41" borderId="22" xfId="0" applyFont="1" applyFill="1" applyBorder="1" applyAlignment="1">
      <alignment horizontal="center" vertical="top" wrapText="1"/>
    </xf>
    <xf numFmtId="0" fontId="50" fillId="41" borderId="27" xfId="0" applyFont="1" applyFill="1" applyBorder="1" applyAlignment="1">
      <alignment horizontal="center" vertical="top" wrapText="1"/>
    </xf>
    <xf numFmtId="4" fontId="50" fillId="41" borderId="22" xfId="0" applyNumberFormat="1" applyFont="1" applyFill="1" applyBorder="1" applyAlignment="1">
      <alignment horizontal="center" vertical="top" wrapText="1"/>
    </xf>
    <xf numFmtId="4" fontId="50" fillId="41" borderId="27" xfId="0" applyNumberFormat="1" applyFont="1" applyFill="1" applyBorder="1" applyAlignment="1">
      <alignment horizontal="center" vertical="top" wrapText="1"/>
    </xf>
    <xf numFmtId="0" fontId="50" fillId="38" borderId="5" xfId="0" applyFont="1" applyFill="1" applyBorder="1" applyAlignment="1">
      <alignment horizontal="center" vertical="top" wrapText="1"/>
    </xf>
    <xf numFmtId="0" fontId="50" fillId="38" borderId="6" xfId="0" applyFont="1" applyFill="1" applyBorder="1" applyAlignment="1">
      <alignment horizontal="center" vertical="top" wrapText="1"/>
    </xf>
    <xf numFmtId="167" fontId="50" fillId="36" borderId="3" xfId="0" applyNumberFormat="1" applyFont="1" applyFill="1" applyBorder="1" applyAlignment="1">
      <alignment horizontal="left" vertical="top" wrapText="1"/>
    </xf>
    <xf numFmtId="167" fontId="50" fillId="36" borderId="24" xfId="0" applyNumberFormat="1" applyFont="1" applyFill="1" applyBorder="1" applyAlignment="1">
      <alignment horizontal="left" vertical="top" wrapText="1"/>
    </xf>
    <xf numFmtId="0" fontId="53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10" fontId="50" fillId="2" borderId="22" xfId="0" applyNumberFormat="1" applyFont="1" applyFill="1" applyBorder="1" applyAlignment="1">
      <alignment horizontal="center" vertical="top" wrapText="1"/>
    </xf>
    <xf numFmtId="10" fontId="50" fillId="2" borderId="27" xfId="0" applyNumberFormat="1" applyFont="1" applyFill="1" applyBorder="1" applyAlignment="1">
      <alignment horizontal="center" vertical="top" wrapText="1"/>
    </xf>
    <xf numFmtId="10" fontId="50" fillId="2" borderId="22" xfId="0" applyNumberFormat="1" applyFont="1" applyFill="1" applyBorder="1" applyAlignment="1">
      <alignment horizontal="center" vertical="top"/>
    </xf>
    <xf numFmtId="10" fontId="50" fillId="2" borderId="27" xfId="0" applyNumberFormat="1" applyFont="1" applyFill="1" applyBorder="1" applyAlignment="1">
      <alignment horizontal="center" vertical="top"/>
    </xf>
    <xf numFmtId="0" fontId="50" fillId="2" borderId="22" xfId="0" applyFont="1" applyFill="1" applyBorder="1" applyAlignment="1">
      <alignment horizontal="left" vertical="top"/>
    </xf>
    <xf numFmtId="0" fontId="50" fillId="2" borderId="27" xfId="0" applyFont="1" applyFill="1" applyBorder="1" applyAlignment="1">
      <alignment horizontal="left" vertical="top"/>
    </xf>
    <xf numFmtId="0" fontId="50" fillId="2" borderId="22" xfId="0" applyFont="1" applyFill="1" applyBorder="1" applyAlignment="1">
      <alignment horizontal="center" vertical="top"/>
    </xf>
    <xf numFmtId="0" fontId="50" fillId="2" borderId="27" xfId="0" applyFont="1" applyFill="1" applyBorder="1" applyAlignment="1">
      <alignment horizontal="center" vertical="top"/>
    </xf>
    <xf numFmtId="0" fontId="50" fillId="2" borderId="22" xfId="0" applyFont="1" applyFill="1" applyBorder="1" applyAlignment="1">
      <alignment horizontal="center" vertical="top" wrapText="1"/>
    </xf>
    <xf numFmtId="0" fontId="50" fillId="2" borderId="27" xfId="0" applyFont="1" applyFill="1" applyBorder="1" applyAlignment="1">
      <alignment horizontal="center" vertical="top" wrapText="1"/>
    </xf>
    <xf numFmtId="14" fontId="50" fillId="35" borderId="5" xfId="0" applyNumberFormat="1" applyFont="1" applyFill="1" applyBorder="1" applyAlignment="1">
      <alignment horizontal="center" vertical="top" wrapText="1"/>
    </xf>
    <xf numFmtId="14" fontId="50" fillId="35" borderId="23" xfId="0" applyNumberFormat="1" applyFont="1" applyFill="1" applyBorder="1" applyAlignment="1">
      <alignment horizontal="center" vertical="top" wrapText="1"/>
    </xf>
    <xf numFmtId="14" fontId="50" fillId="35" borderId="6" xfId="0" applyNumberFormat="1" applyFont="1" applyFill="1" applyBorder="1" applyAlignment="1">
      <alignment horizontal="center" vertical="top" wrapText="1"/>
    </xf>
    <xf numFmtId="0" fontId="50" fillId="42" borderId="34" xfId="0" applyFont="1" applyFill="1" applyBorder="1" applyAlignment="1">
      <alignment horizontal="center" vertical="top" wrapText="1"/>
    </xf>
    <xf numFmtId="0" fontId="50" fillId="2" borderId="22" xfId="0" applyNumberFormat="1" applyFont="1" applyFill="1" applyBorder="1" applyAlignment="1">
      <alignment horizontal="left" vertical="top"/>
    </xf>
    <xf numFmtId="0" fontId="50" fillId="2" borderId="27" xfId="0" applyNumberFormat="1" applyFont="1" applyFill="1" applyBorder="1" applyAlignment="1">
      <alignment horizontal="left" vertical="top"/>
    </xf>
    <xf numFmtId="0" fontId="50" fillId="2" borderId="22" xfId="0" applyNumberFormat="1" applyFont="1" applyFill="1" applyBorder="1" applyAlignment="1">
      <alignment horizontal="center" vertical="top"/>
    </xf>
    <xf numFmtId="0" fontId="50" fillId="2" borderId="27" xfId="0" applyNumberFormat="1" applyFont="1" applyFill="1" applyBorder="1" applyAlignment="1">
      <alignment horizontal="center" vertical="top"/>
    </xf>
    <xf numFmtId="0" fontId="50" fillId="2" borderId="22" xfId="0" applyNumberFormat="1" applyFont="1" applyFill="1" applyBorder="1" applyAlignment="1">
      <alignment horizontal="center" vertical="top" wrapText="1"/>
    </xf>
    <xf numFmtId="0" fontId="50" fillId="2" borderId="27" xfId="0" applyNumberFormat="1" applyFont="1" applyFill="1" applyBorder="1" applyAlignment="1">
      <alignment horizontal="center" vertical="top" wrapText="1"/>
    </xf>
    <xf numFmtId="0" fontId="50" fillId="42" borderId="22" xfId="0" applyNumberFormat="1" applyFont="1" applyFill="1" applyBorder="1" applyAlignment="1">
      <alignment horizontal="center" vertical="top" wrapText="1"/>
    </xf>
    <xf numFmtId="0" fontId="50" fillId="42" borderId="34" xfId="0" applyNumberFormat="1" applyFont="1" applyFill="1" applyBorder="1" applyAlignment="1">
      <alignment horizontal="center" vertical="top" wrapText="1"/>
    </xf>
    <xf numFmtId="0" fontId="50" fillId="42" borderId="27" xfId="0" applyNumberFormat="1" applyFont="1" applyFill="1" applyBorder="1" applyAlignment="1">
      <alignment horizontal="center" vertical="top" wrapText="1"/>
    </xf>
    <xf numFmtId="0" fontId="50" fillId="41" borderId="22" xfId="0" applyNumberFormat="1" applyFont="1" applyFill="1" applyBorder="1" applyAlignment="1">
      <alignment horizontal="center" vertical="top" wrapText="1"/>
    </xf>
    <xf numFmtId="0" fontId="50" fillId="41" borderId="27" xfId="0" applyNumberFormat="1" applyFont="1" applyFill="1" applyBorder="1" applyAlignment="1">
      <alignment horizontal="center" vertical="top" wrapText="1"/>
    </xf>
    <xf numFmtId="0" fontId="50" fillId="38" borderId="5" xfId="0" applyNumberFormat="1" applyFont="1" applyFill="1" applyBorder="1" applyAlignment="1">
      <alignment horizontal="center" vertical="top" wrapText="1"/>
    </xf>
    <xf numFmtId="0" fontId="50" fillId="38" borderId="6" xfId="0" applyNumberFormat="1" applyFont="1" applyFill="1" applyBorder="1" applyAlignment="1">
      <alignment horizontal="center" vertical="top" wrapText="1"/>
    </xf>
  </cellXfs>
  <cellStyles count="243">
    <cellStyle name="20 % - Accent1" xfId="19" builtinId="30" customBuiltin="1"/>
    <cellStyle name="20 % - Accent1 10" xfId="186" xr:uid="{00000000-0005-0000-0000-000001000000}"/>
    <cellStyle name="20 % - Accent1 11" xfId="200" xr:uid="{00000000-0005-0000-0000-000002000000}"/>
    <cellStyle name="20 % - Accent1 12" xfId="214" xr:uid="{00000000-0005-0000-0000-000003000000}"/>
    <cellStyle name="20 % - Accent1 13" xfId="228" xr:uid="{00000000-0005-0000-0000-000004000000}"/>
    <cellStyle name="20 % - Accent1 2" xfId="46" xr:uid="{00000000-0005-0000-0000-000005000000}"/>
    <cellStyle name="20 % - Accent1 3" xfId="60" xr:uid="{00000000-0005-0000-0000-000006000000}"/>
    <cellStyle name="20 % - Accent1 4" xfId="91" xr:uid="{00000000-0005-0000-0000-000007000000}"/>
    <cellStyle name="20 % - Accent1 5" xfId="116" xr:uid="{00000000-0005-0000-0000-000008000000}"/>
    <cellStyle name="20 % - Accent1 6" xfId="130" xr:uid="{00000000-0005-0000-0000-000009000000}"/>
    <cellStyle name="20 % - Accent1 7" xfId="144" xr:uid="{00000000-0005-0000-0000-00000A000000}"/>
    <cellStyle name="20 % - Accent1 8" xfId="158" xr:uid="{00000000-0005-0000-0000-00000B000000}"/>
    <cellStyle name="20 % - Accent1 9" xfId="172" xr:uid="{00000000-0005-0000-0000-00000C000000}"/>
    <cellStyle name="20 % - Accent2" xfId="23" builtinId="34" customBuiltin="1"/>
    <cellStyle name="20 % - Accent2 10" xfId="188" xr:uid="{00000000-0005-0000-0000-00000E000000}"/>
    <cellStyle name="20 % - Accent2 11" xfId="202" xr:uid="{00000000-0005-0000-0000-00000F000000}"/>
    <cellStyle name="20 % - Accent2 12" xfId="216" xr:uid="{00000000-0005-0000-0000-000010000000}"/>
    <cellStyle name="20 % - Accent2 13" xfId="230" xr:uid="{00000000-0005-0000-0000-000011000000}"/>
    <cellStyle name="20 % - Accent2 2" xfId="48" xr:uid="{00000000-0005-0000-0000-000012000000}"/>
    <cellStyle name="20 % - Accent2 3" xfId="62" xr:uid="{00000000-0005-0000-0000-000013000000}"/>
    <cellStyle name="20 % - Accent2 4" xfId="95" xr:uid="{00000000-0005-0000-0000-000014000000}"/>
    <cellStyle name="20 % - Accent2 5" xfId="118" xr:uid="{00000000-0005-0000-0000-000015000000}"/>
    <cellStyle name="20 % - Accent2 6" xfId="132" xr:uid="{00000000-0005-0000-0000-000016000000}"/>
    <cellStyle name="20 % - Accent2 7" xfId="146" xr:uid="{00000000-0005-0000-0000-000017000000}"/>
    <cellStyle name="20 % - Accent2 8" xfId="160" xr:uid="{00000000-0005-0000-0000-000018000000}"/>
    <cellStyle name="20 % - Accent2 9" xfId="174" xr:uid="{00000000-0005-0000-0000-000019000000}"/>
    <cellStyle name="20 % - Accent3" xfId="27" builtinId="38" customBuiltin="1"/>
    <cellStyle name="20 % - Accent3 10" xfId="190" xr:uid="{00000000-0005-0000-0000-00001B000000}"/>
    <cellStyle name="20 % - Accent3 11" xfId="204" xr:uid="{00000000-0005-0000-0000-00001C000000}"/>
    <cellStyle name="20 % - Accent3 12" xfId="218" xr:uid="{00000000-0005-0000-0000-00001D000000}"/>
    <cellStyle name="20 % - Accent3 13" xfId="232" xr:uid="{00000000-0005-0000-0000-00001E000000}"/>
    <cellStyle name="20 % - Accent3 2" xfId="50" xr:uid="{00000000-0005-0000-0000-00001F000000}"/>
    <cellStyle name="20 % - Accent3 3" xfId="64" xr:uid="{00000000-0005-0000-0000-000020000000}"/>
    <cellStyle name="20 % - Accent3 4" xfId="99" xr:uid="{00000000-0005-0000-0000-000021000000}"/>
    <cellStyle name="20 % - Accent3 5" xfId="120" xr:uid="{00000000-0005-0000-0000-000022000000}"/>
    <cellStyle name="20 % - Accent3 6" xfId="134" xr:uid="{00000000-0005-0000-0000-000023000000}"/>
    <cellStyle name="20 % - Accent3 7" xfId="148" xr:uid="{00000000-0005-0000-0000-000024000000}"/>
    <cellStyle name="20 % - Accent3 8" xfId="162" xr:uid="{00000000-0005-0000-0000-000025000000}"/>
    <cellStyle name="20 % - Accent3 9" xfId="176" xr:uid="{00000000-0005-0000-0000-000026000000}"/>
    <cellStyle name="20 % - Accent4" xfId="31" builtinId="42" customBuiltin="1"/>
    <cellStyle name="20 % - Accent4 10" xfId="192" xr:uid="{00000000-0005-0000-0000-000028000000}"/>
    <cellStyle name="20 % - Accent4 11" xfId="206" xr:uid="{00000000-0005-0000-0000-000029000000}"/>
    <cellStyle name="20 % - Accent4 12" xfId="220" xr:uid="{00000000-0005-0000-0000-00002A000000}"/>
    <cellStyle name="20 % - Accent4 13" xfId="234" xr:uid="{00000000-0005-0000-0000-00002B000000}"/>
    <cellStyle name="20 % - Accent4 2" xfId="52" xr:uid="{00000000-0005-0000-0000-00002C000000}"/>
    <cellStyle name="20 % - Accent4 3" xfId="66" xr:uid="{00000000-0005-0000-0000-00002D000000}"/>
    <cellStyle name="20 % - Accent4 4" xfId="103" xr:uid="{00000000-0005-0000-0000-00002E000000}"/>
    <cellStyle name="20 % - Accent4 5" xfId="122" xr:uid="{00000000-0005-0000-0000-00002F000000}"/>
    <cellStyle name="20 % - Accent4 6" xfId="136" xr:uid="{00000000-0005-0000-0000-000030000000}"/>
    <cellStyle name="20 % - Accent4 7" xfId="150" xr:uid="{00000000-0005-0000-0000-000031000000}"/>
    <cellStyle name="20 % - Accent4 8" xfId="164" xr:uid="{00000000-0005-0000-0000-000032000000}"/>
    <cellStyle name="20 % - Accent4 9" xfId="178" xr:uid="{00000000-0005-0000-0000-000033000000}"/>
    <cellStyle name="20 % - Accent5" xfId="35" builtinId="46" customBuiltin="1"/>
    <cellStyle name="20 % - Accent5 10" xfId="194" xr:uid="{00000000-0005-0000-0000-000035000000}"/>
    <cellStyle name="20 % - Accent5 11" xfId="208" xr:uid="{00000000-0005-0000-0000-000036000000}"/>
    <cellStyle name="20 % - Accent5 12" xfId="222" xr:uid="{00000000-0005-0000-0000-000037000000}"/>
    <cellStyle name="20 % - Accent5 13" xfId="236" xr:uid="{00000000-0005-0000-0000-000038000000}"/>
    <cellStyle name="20 % - Accent5 2" xfId="54" xr:uid="{00000000-0005-0000-0000-000039000000}"/>
    <cellStyle name="20 % - Accent5 3" xfId="68" xr:uid="{00000000-0005-0000-0000-00003A000000}"/>
    <cellStyle name="20 % - Accent5 4" xfId="107" xr:uid="{00000000-0005-0000-0000-00003B000000}"/>
    <cellStyle name="20 % - Accent5 5" xfId="124" xr:uid="{00000000-0005-0000-0000-00003C000000}"/>
    <cellStyle name="20 % - Accent5 6" xfId="138" xr:uid="{00000000-0005-0000-0000-00003D000000}"/>
    <cellStyle name="20 % - Accent5 7" xfId="152" xr:uid="{00000000-0005-0000-0000-00003E000000}"/>
    <cellStyle name="20 % - Accent5 8" xfId="166" xr:uid="{00000000-0005-0000-0000-00003F000000}"/>
    <cellStyle name="20 % - Accent5 9" xfId="180" xr:uid="{00000000-0005-0000-0000-000040000000}"/>
    <cellStyle name="20 % - Accent6" xfId="39" builtinId="50" customBuiltin="1"/>
    <cellStyle name="20 % - Accent6 10" xfId="196" xr:uid="{00000000-0005-0000-0000-000042000000}"/>
    <cellStyle name="20 % - Accent6 11" xfId="210" xr:uid="{00000000-0005-0000-0000-000043000000}"/>
    <cellStyle name="20 % - Accent6 12" xfId="224" xr:uid="{00000000-0005-0000-0000-000044000000}"/>
    <cellStyle name="20 % - Accent6 13" xfId="238" xr:uid="{00000000-0005-0000-0000-000045000000}"/>
    <cellStyle name="20 % - Accent6 2" xfId="56" xr:uid="{00000000-0005-0000-0000-000046000000}"/>
    <cellStyle name="20 % - Accent6 3" xfId="70" xr:uid="{00000000-0005-0000-0000-000047000000}"/>
    <cellStyle name="20 % - Accent6 4" xfId="111" xr:uid="{00000000-0005-0000-0000-000048000000}"/>
    <cellStyle name="20 % - Accent6 5" xfId="126" xr:uid="{00000000-0005-0000-0000-000049000000}"/>
    <cellStyle name="20 % - Accent6 6" xfId="140" xr:uid="{00000000-0005-0000-0000-00004A000000}"/>
    <cellStyle name="20 % - Accent6 7" xfId="154" xr:uid="{00000000-0005-0000-0000-00004B000000}"/>
    <cellStyle name="20 % - Accent6 8" xfId="168" xr:uid="{00000000-0005-0000-0000-00004C000000}"/>
    <cellStyle name="20 % - Accent6 9" xfId="182" xr:uid="{00000000-0005-0000-0000-00004D000000}"/>
    <cellStyle name="40 % - Accent1" xfId="20" builtinId="31" customBuiltin="1"/>
    <cellStyle name="40 % - Accent1 10" xfId="187" xr:uid="{00000000-0005-0000-0000-00004F000000}"/>
    <cellStyle name="40 % - Accent1 11" xfId="201" xr:uid="{00000000-0005-0000-0000-000050000000}"/>
    <cellStyle name="40 % - Accent1 12" xfId="215" xr:uid="{00000000-0005-0000-0000-000051000000}"/>
    <cellStyle name="40 % - Accent1 13" xfId="229" xr:uid="{00000000-0005-0000-0000-000052000000}"/>
    <cellStyle name="40 % - Accent1 2" xfId="47" xr:uid="{00000000-0005-0000-0000-000053000000}"/>
    <cellStyle name="40 % - Accent1 3" xfId="61" xr:uid="{00000000-0005-0000-0000-000054000000}"/>
    <cellStyle name="40 % - Accent1 4" xfId="92" xr:uid="{00000000-0005-0000-0000-000055000000}"/>
    <cellStyle name="40 % - Accent1 5" xfId="117" xr:uid="{00000000-0005-0000-0000-000056000000}"/>
    <cellStyle name="40 % - Accent1 6" xfId="131" xr:uid="{00000000-0005-0000-0000-000057000000}"/>
    <cellStyle name="40 % - Accent1 7" xfId="145" xr:uid="{00000000-0005-0000-0000-000058000000}"/>
    <cellStyle name="40 % - Accent1 8" xfId="159" xr:uid="{00000000-0005-0000-0000-000059000000}"/>
    <cellStyle name="40 % - Accent1 9" xfId="173" xr:uid="{00000000-0005-0000-0000-00005A000000}"/>
    <cellStyle name="40 % - Accent2" xfId="24" builtinId="35" customBuiltin="1"/>
    <cellStyle name="40 % - Accent2 10" xfId="189" xr:uid="{00000000-0005-0000-0000-00005C000000}"/>
    <cellStyle name="40 % - Accent2 11" xfId="203" xr:uid="{00000000-0005-0000-0000-00005D000000}"/>
    <cellStyle name="40 % - Accent2 12" xfId="217" xr:uid="{00000000-0005-0000-0000-00005E000000}"/>
    <cellStyle name="40 % - Accent2 13" xfId="231" xr:uid="{00000000-0005-0000-0000-00005F000000}"/>
    <cellStyle name="40 % - Accent2 2" xfId="49" xr:uid="{00000000-0005-0000-0000-000060000000}"/>
    <cellStyle name="40 % - Accent2 3" xfId="63" xr:uid="{00000000-0005-0000-0000-000061000000}"/>
    <cellStyle name="40 % - Accent2 4" xfId="96" xr:uid="{00000000-0005-0000-0000-000062000000}"/>
    <cellStyle name="40 % - Accent2 5" xfId="119" xr:uid="{00000000-0005-0000-0000-000063000000}"/>
    <cellStyle name="40 % - Accent2 6" xfId="133" xr:uid="{00000000-0005-0000-0000-000064000000}"/>
    <cellStyle name="40 % - Accent2 7" xfId="147" xr:uid="{00000000-0005-0000-0000-000065000000}"/>
    <cellStyle name="40 % - Accent2 8" xfId="161" xr:uid="{00000000-0005-0000-0000-000066000000}"/>
    <cellStyle name="40 % - Accent2 9" xfId="175" xr:uid="{00000000-0005-0000-0000-000067000000}"/>
    <cellStyle name="40 % - Accent3" xfId="28" builtinId="39" customBuiltin="1"/>
    <cellStyle name="40 % - Accent3 10" xfId="191" xr:uid="{00000000-0005-0000-0000-000069000000}"/>
    <cellStyle name="40 % - Accent3 11" xfId="205" xr:uid="{00000000-0005-0000-0000-00006A000000}"/>
    <cellStyle name="40 % - Accent3 12" xfId="219" xr:uid="{00000000-0005-0000-0000-00006B000000}"/>
    <cellStyle name="40 % - Accent3 13" xfId="233" xr:uid="{00000000-0005-0000-0000-00006C000000}"/>
    <cellStyle name="40 % - Accent3 2" xfId="51" xr:uid="{00000000-0005-0000-0000-00006D000000}"/>
    <cellStyle name="40 % - Accent3 3" xfId="65" xr:uid="{00000000-0005-0000-0000-00006E000000}"/>
    <cellStyle name="40 % - Accent3 4" xfId="100" xr:uid="{00000000-0005-0000-0000-00006F000000}"/>
    <cellStyle name="40 % - Accent3 5" xfId="121" xr:uid="{00000000-0005-0000-0000-000070000000}"/>
    <cellStyle name="40 % - Accent3 6" xfId="135" xr:uid="{00000000-0005-0000-0000-000071000000}"/>
    <cellStyle name="40 % - Accent3 7" xfId="149" xr:uid="{00000000-0005-0000-0000-000072000000}"/>
    <cellStyle name="40 % - Accent3 8" xfId="163" xr:uid="{00000000-0005-0000-0000-000073000000}"/>
    <cellStyle name="40 % - Accent3 9" xfId="177" xr:uid="{00000000-0005-0000-0000-000074000000}"/>
    <cellStyle name="40 % - Accent4" xfId="32" builtinId="43" customBuiltin="1"/>
    <cellStyle name="40 % - Accent4 10" xfId="193" xr:uid="{00000000-0005-0000-0000-000076000000}"/>
    <cellStyle name="40 % - Accent4 11" xfId="207" xr:uid="{00000000-0005-0000-0000-000077000000}"/>
    <cellStyle name="40 % - Accent4 12" xfId="221" xr:uid="{00000000-0005-0000-0000-000078000000}"/>
    <cellStyle name="40 % - Accent4 13" xfId="235" xr:uid="{00000000-0005-0000-0000-000079000000}"/>
    <cellStyle name="40 % - Accent4 2" xfId="53" xr:uid="{00000000-0005-0000-0000-00007A000000}"/>
    <cellStyle name="40 % - Accent4 3" xfId="67" xr:uid="{00000000-0005-0000-0000-00007B000000}"/>
    <cellStyle name="40 % - Accent4 4" xfId="104" xr:uid="{00000000-0005-0000-0000-00007C000000}"/>
    <cellStyle name="40 % - Accent4 5" xfId="123" xr:uid="{00000000-0005-0000-0000-00007D000000}"/>
    <cellStyle name="40 % - Accent4 6" xfId="137" xr:uid="{00000000-0005-0000-0000-00007E000000}"/>
    <cellStyle name="40 % - Accent4 7" xfId="151" xr:uid="{00000000-0005-0000-0000-00007F000000}"/>
    <cellStyle name="40 % - Accent4 8" xfId="165" xr:uid="{00000000-0005-0000-0000-000080000000}"/>
    <cellStyle name="40 % - Accent4 9" xfId="179" xr:uid="{00000000-0005-0000-0000-000081000000}"/>
    <cellStyle name="40 % - Accent5" xfId="36" builtinId="47" customBuiltin="1"/>
    <cellStyle name="40 % - Accent5 10" xfId="195" xr:uid="{00000000-0005-0000-0000-000083000000}"/>
    <cellStyle name="40 % - Accent5 11" xfId="209" xr:uid="{00000000-0005-0000-0000-000084000000}"/>
    <cellStyle name="40 % - Accent5 12" xfId="223" xr:uid="{00000000-0005-0000-0000-000085000000}"/>
    <cellStyle name="40 % - Accent5 13" xfId="237" xr:uid="{00000000-0005-0000-0000-000086000000}"/>
    <cellStyle name="40 % - Accent5 2" xfId="55" xr:uid="{00000000-0005-0000-0000-000087000000}"/>
    <cellStyle name="40 % - Accent5 3" xfId="69" xr:uid="{00000000-0005-0000-0000-000088000000}"/>
    <cellStyle name="40 % - Accent5 4" xfId="108" xr:uid="{00000000-0005-0000-0000-000089000000}"/>
    <cellStyle name="40 % - Accent5 5" xfId="125" xr:uid="{00000000-0005-0000-0000-00008A000000}"/>
    <cellStyle name="40 % - Accent5 6" xfId="139" xr:uid="{00000000-0005-0000-0000-00008B000000}"/>
    <cellStyle name="40 % - Accent5 7" xfId="153" xr:uid="{00000000-0005-0000-0000-00008C000000}"/>
    <cellStyle name="40 % - Accent5 8" xfId="167" xr:uid="{00000000-0005-0000-0000-00008D000000}"/>
    <cellStyle name="40 % - Accent5 9" xfId="181" xr:uid="{00000000-0005-0000-0000-00008E000000}"/>
    <cellStyle name="40 % - Accent6" xfId="40" builtinId="51" customBuiltin="1"/>
    <cellStyle name="40 % - Accent6 10" xfId="197" xr:uid="{00000000-0005-0000-0000-000090000000}"/>
    <cellStyle name="40 % - Accent6 11" xfId="211" xr:uid="{00000000-0005-0000-0000-000091000000}"/>
    <cellStyle name="40 % - Accent6 12" xfId="225" xr:uid="{00000000-0005-0000-0000-000092000000}"/>
    <cellStyle name="40 % - Accent6 13" xfId="239" xr:uid="{00000000-0005-0000-0000-000093000000}"/>
    <cellStyle name="40 % - Accent6 2" xfId="57" xr:uid="{00000000-0005-0000-0000-000094000000}"/>
    <cellStyle name="40 % - Accent6 3" xfId="71" xr:uid="{00000000-0005-0000-0000-000095000000}"/>
    <cellStyle name="40 % - Accent6 4" xfId="112" xr:uid="{00000000-0005-0000-0000-000096000000}"/>
    <cellStyle name="40 % - Accent6 5" xfId="127" xr:uid="{00000000-0005-0000-0000-000097000000}"/>
    <cellStyle name="40 % - Accent6 6" xfId="141" xr:uid="{00000000-0005-0000-0000-000098000000}"/>
    <cellStyle name="40 % - Accent6 7" xfId="155" xr:uid="{00000000-0005-0000-0000-000099000000}"/>
    <cellStyle name="40 % - Accent6 8" xfId="169" xr:uid="{00000000-0005-0000-0000-00009A000000}"/>
    <cellStyle name="40 % - Accent6 9" xfId="183" xr:uid="{00000000-0005-0000-0000-00009B000000}"/>
    <cellStyle name="60 % - Accent1" xfId="21" builtinId="32" customBuiltin="1"/>
    <cellStyle name="60 % - Accent1 2" xfId="93" xr:uid="{00000000-0005-0000-0000-00009D000000}"/>
    <cellStyle name="60 % - Accent2" xfId="25" builtinId="36" customBuiltin="1"/>
    <cellStyle name="60 % - Accent2 2" xfId="97" xr:uid="{00000000-0005-0000-0000-00009F000000}"/>
    <cellStyle name="60 % - Accent3" xfId="29" builtinId="40" customBuiltin="1"/>
    <cellStyle name="60 % - Accent3 2" xfId="101" xr:uid="{00000000-0005-0000-0000-0000A1000000}"/>
    <cellStyle name="60 % - Accent4" xfId="33" builtinId="44" customBuiltin="1"/>
    <cellStyle name="60 % - Accent4 2" xfId="105" xr:uid="{00000000-0005-0000-0000-0000A3000000}"/>
    <cellStyle name="60 % - Accent5" xfId="37" builtinId="48" customBuiltin="1"/>
    <cellStyle name="60 % - Accent5 2" xfId="109" xr:uid="{00000000-0005-0000-0000-0000A5000000}"/>
    <cellStyle name="60 % - Accent6" xfId="41" builtinId="52" customBuiltin="1"/>
    <cellStyle name="60 % - Accent6 2" xfId="113" xr:uid="{00000000-0005-0000-0000-0000A7000000}"/>
    <cellStyle name="Accent1" xfId="18" builtinId="29" customBuiltin="1"/>
    <cellStyle name="Accent1 2" xfId="90" xr:uid="{00000000-0005-0000-0000-0000A9000000}"/>
    <cellStyle name="Accent2" xfId="22" builtinId="33" customBuiltin="1"/>
    <cellStyle name="Accent2 2" xfId="94" xr:uid="{00000000-0005-0000-0000-0000AB000000}"/>
    <cellStyle name="Accent3" xfId="26" builtinId="37" customBuiltin="1"/>
    <cellStyle name="Accent3 2" xfId="98" xr:uid="{00000000-0005-0000-0000-0000AD000000}"/>
    <cellStyle name="Accent4" xfId="30" builtinId="41" customBuiltin="1"/>
    <cellStyle name="Accent4 2" xfId="102" xr:uid="{00000000-0005-0000-0000-0000AF000000}"/>
    <cellStyle name="Accent5" xfId="34" builtinId="45" customBuiltin="1"/>
    <cellStyle name="Accent5 2" xfId="106" xr:uid="{00000000-0005-0000-0000-0000B1000000}"/>
    <cellStyle name="Accent6" xfId="38" builtinId="49" customBuiltin="1"/>
    <cellStyle name="Accent6 2" xfId="110" xr:uid="{00000000-0005-0000-0000-0000B3000000}"/>
    <cellStyle name="Avertissement" xfId="15" builtinId="11" customBuiltin="1"/>
    <cellStyle name="Avertissement 2" xfId="86" xr:uid="{00000000-0005-0000-0000-0000B5000000}"/>
    <cellStyle name="Calcul" xfId="12" builtinId="22" customBuiltin="1"/>
    <cellStyle name="Calcul 2" xfId="83" xr:uid="{00000000-0005-0000-0000-0000B7000000}"/>
    <cellStyle name="Cellule liée" xfId="13" builtinId="24" customBuiltin="1"/>
    <cellStyle name="Cellule liée 2" xfId="84" xr:uid="{00000000-0005-0000-0000-0000B9000000}"/>
    <cellStyle name="Commentaire 10" xfId="171" xr:uid="{00000000-0005-0000-0000-0000BA000000}"/>
    <cellStyle name="Commentaire 11" xfId="185" xr:uid="{00000000-0005-0000-0000-0000BB000000}"/>
    <cellStyle name="Commentaire 12" xfId="199" xr:uid="{00000000-0005-0000-0000-0000BC000000}"/>
    <cellStyle name="Commentaire 13" xfId="213" xr:uid="{00000000-0005-0000-0000-0000BD000000}"/>
    <cellStyle name="Commentaire 2" xfId="43" xr:uid="{00000000-0005-0000-0000-0000BE000000}"/>
    <cellStyle name="Commentaire 3" xfId="45" xr:uid="{00000000-0005-0000-0000-0000BF000000}"/>
    <cellStyle name="Commentaire 4" xfId="59" xr:uid="{00000000-0005-0000-0000-0000C0000000}"/>
    <cellStyle name="Commentaire 5" xfId="87" xr:uid="{00000000-0005-0000-0000-0000C1000000}"/>
    <cellStyle name="Commentaire 6" xfId="115" xr:uid="{00000000-0005-0000-0000-0000C2000000}"/>
    <cellStyle name="Commentaire 7" xfId="129" xr:uid="{00000000-0005-0000-0000-0000C3000000}"/>
    <cellStyle name="Commentaire 8" xfId="143" xr:uid="{00000000-0005-0000-0000-0000C4000000}"/>
    <cellStyle name="Commentaire 9" xfId="157" xr:uid="{00000000-0005-0000-0000-0000C5000000}"/>
    <cellStyle name="Entrée" xfId="10" builtinId="20" customBuiltin="1"/>
    <cellStyle name="Entrée 2" xfId="81" xr:uid="{00000000-0005-0000-0000-0000C7000000}"/>
    <cellStyle name="Fonction" xfId="1" xr:uid="{00000000-0005-0000-0000-0000C8000000}"/>
    <cellStyle name="Insatisfaisant" xfId="8" builtinId="27" customBuiltin="1"/>
    <cellStyle name="Insatisfaisant 2" xfId="79" xr:uid="{00000000-0005-0000-0000-0000CA000000}"/>
    <cellStyle name="Milliers" xfId="241" builtinId="3"/>
    <cellStyle name="Milliers 2" xfId="242" xr:uid="{B94F6BF1-D319-4A55-AA42-571F30051AC4}"/>
    <cellStyle name="Neutre" xfId="9" builtinId="28" customBuiltin="1"/>
    <cellStyle name="Neutre 2" xfId="80" xr:uid="{00000000-0005-0000-0000-0000CC000000}"/>
    <cellStyle name="Normal" xfId="0" builtinId="0"/>
    <cellStyle name="Normal 10" xfId="170" xr:uid="{00000000-0005-0000-0000-0000CE000000}"/>
    <cellStyle name="Normal 11" xfId="184" xr:uid="{00000000-0005-0000-0000-0000CF000000}"/>
    <cellStyle name="Normal 12" xfId="198" xr:uid="{00000000-0005-0000-0000-0000D0000000}"/>
    <cellStyle name="Normal 13" xfId="212" xr:uid="{00000000-0005-0000-0000-0000D1000000}"/>
    <cellStyle name="Normal 14" xfId="226" xr:uid="{00000000-0005-0000-0000-0000D2000000}"/>
    <cellStyle name="Normal 2" xfId="42" xr:uid="{00000000-0005-0000-0000-0000D3000000}"/>
    <cellStyle name="Normal 3" xfId="44" xr:uid="{00000000-0005-0000-0000-0000D4000000}"/>
    <cellStyle name="Normal 4" xfId="58" xr:uid="{00000000-0005-0000-0000-0000D5000000}"/>
    <cellStyle name="Normal 5" xfId="72" xr:uid="{00000000-0005-0000-0000-0000D6000000}"/>
    <cellStyle name="Normal 6" xfId="114" xr:uid="{00000000-0005-0000-0000-0000D7000000}"/>
    <cellStyle name="Normal 7" xfId="128" xr:uid="{00000000-0005-0000-0000-0000D8000000}"/>
    <cellStyle name="Normal 8" xfId="142" xr:uid="{00000000-0005-0000-0000-0000D9000000}"/>
    <cellStyle name="Normal 9" xfId="156" xr:uid="{00000000-0005-0000-0000-0000DA000000}"/>
    <cellStyle name="Note 2" xfId="227" xr:uid="{00000000-0005-0000-0000-0000DB000000}"/>
    <cellStyle name="Pourcentage" xfId="240" builtinId="5"/>
    <cellStyle name="Satisfaisant" xfId="7" builtinId="26" customBuiltin="1"/>
    <cellStyle name="Satisfaisant 2" xfId="78" xr:uid="{00000000-0005-0000-0000-0000DE000000}"/>
    <cellStyle name="Sortie" xfId="11" builtinId="21" customBuiltin="1"/>
    <cellStyle name="Sortie 2" xfId="82" xr:uid="{00000000-0005-0000-0000-0000E0000000}"/>
    <cellStyle name="Texte explicatif" xfId="16" builtinId="53" customBuiltin="1"/>
    <cellStyle name="Texte explicatif 2" xfId="88" xr:uid="{00000000-0005-0000-0000-0000E2000000}"/>
    <cellStyle name="Titre" xfId="2" builtinId="15" customBuiltin="1"/>
    <cellStyle name="Titre 2" xfId="73" xr:uid="{00000000-0005-0000-0000-0000E4000000}"/>
    <cellStyle name="Titre 1" xfId="3" builtinId="16" customBuiltin="1"/>
    <cellStyle name="Titre 1 2" xfId="74" xr:uid="{00000000-0005-0000-0000-0000E6000000}"/>
    <cellStyle name="Titre 2" xfId="4" builtinId="17" customBuiltin="1"/>
    <cellStyle name="Titre 2 2" xfId="75" xr:uid="{00000000-0005-0000-0000-0000E8000000}"/>
    <cellStyle name="Titre 3" xfId="5" builtinId="18" customBuiltin="1"/>
    <cellStyle name="Titre 3 2" xfId="76" xr:uid="{00000000-0005-0000-0000-0000EA000000}"/>
    <cellStyle name="Titre 4" xfId="6" builtinId="19" customBuiltin="1"/>
    <cellStyle name="Titre 4 2" xfId="77" xr:uid="{00000000-0005-0000-0000-0000EC000000}"/>
    <cellStyle name="Total" xfId="17" builtinId="25" customBuiltin="1"/>
    <cellStyle name="Total 2" xfId="89" xr:uid="{00000000-0005-0000-0000-0000EE000000}"/>
    <cellStyle name="Vérification" xfId="14" builtinId="23" customBuiltin="1"/>
    <cellStyle name="Vérification 2" xfId="85" xr:uid="{00000000-0005-0000-0000-0000F0000000}"/>
  </cellStyles>
  <dxfs count="2">
    <dxf>
      <fill>
        <patternFill>
          <bgColor rgb="FFE4E4E4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1" defaultTableStyle="TableStyleMedium9" defaultPivotStyle="PivotStyleLight16">
    <tableStyle name="Budget" pivot="0" count="2" xr9:uid="{00000000-0011-0000-FFFF-FFFF00000000}">
      <tableStyleElement type="headerRow" dxfId="1"/>
      <tableStyleElement type="secondRowStripe" dxfId="0"/>
    </tableStyle>
  </tableStyles>
  <colors>
    <mruColors>
      <color rgb="FFFFFF00"/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274725</xdr:colOff>
      <xdr:row>0</xdr:row>
      <xdr:rowOff>362898</xdr:rowOff>
    </xdr:to>
    <xdr:pic>
      <xdr:nvPicPr>
        <xdr:cNvPr id="2" name="Picture 1" descr="gland_coul">
          <a:extLst>
            <a:ext uri="{FF2B5EF4-FFF2-40B4-BE49-F238E27FC236}">
              <a16:creationId xmlns:a16="http://schemas.microsoft.com/office/drawing/2014/main" id="{0D4D6BBD-E0D7-4E55-BA47-4512622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2000" cy="362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274725</xdr:colOff>
      <xdr:row>0</xdr:row>
      <xdr:rowOff>362898</xdr:rowOff>
    </xdr:to>
    <xdr:pic>
      <xdr:nvPicPr>
        <xdr:cNvPr id="2" name="Picture 1" descr="gland_coul">
          <a:extLst>
            <a:ext uri="{FF2B5EF4-FFF2-40B4-BE49-F238E27FC236}">
              <a16:creationId xmlns:a16="http://schemas.microsoft.com/office/drawing/2014/main" id="{3C2DE163-0F4E-4400-9614-989BB9F1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2000" cy="362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274725</xdr:colOff>
      <xdr:row>0</xdr:row>
      <xdr:rowOff>362898</xdr:rowOff>
    </xdr:to>
    <xdr:pic>
      <xdr:nvPicPr>
        <xdr:cNvPr id="2" name="Picture 1" descr="gland_coul">
          <a:extLst>
            <a:ext uri="{FF2B5EF4-FFF2-40B4-BE49-F238E27FC236}">
              <a16:creationId xmlns:a16="http://schemas.microsoft.com/office/drawing/2014/main" id="{13D74953-4506-40E4-9B74-A7D5235D2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2000" cy="362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274725</xdr:colOff>
      <xdr:row>0</xdr:row>
      <xdr:rowOff>362898</xdr:rowOff>
    </xdr:to>
    <xdr:pic>
      <xdr:nvPicPr>
        <xdr:cNvPr id="4" name="Picture 1" descr="gland_cou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2000" cy="362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BF82-E588-46E7-91F7-B17A611415AA}">
  <sheetPr>
    <pageSetUpPr fitToPage="1"/>
  </sheetPr>
  <dimension ref="A1:AO69"/>
  <sheetViews>
    <sheetView tabSelected="1" workbookViewId="0">
      <pane xSplit="1" topLeftCell="B1" activePane="topRight" state="frozen"/>
      <selection pane="topRight" activeCell="E1" sqref="E1"/>
    </sheetView>
  </sheetViews>
  <sheetFormatPr baseColWidth="10" defaultRowHeight="12.75" x14ac:dyDescent="0.2"/>
  <cols>
    <col min="1" max="1" width="7.5703125" style="3" customWidth="1"/>
    <col min="2" max="2" width="8.28515625" style="3" customWidth="1"/>
    <col min="3" max="3" width="3.85546875" style="3" hidden="1" customWidth="1"/>
    <col min="4" max="4" width="22.5703125" style="3" customWidth="1"/>
    <col min="5" max="5" width="17.42578125" style="3" customWidth="1"/>
    <col min="6" max="7" width="8.7109375" style="3" customWidth="1"/>
    <col min="8" max="8" width="10.5703125" style="3" customWidth="1"/>
    <col min="9" max="9" width="10.42578125" style="3" customWidth="1"/>
    <col min="10" max="11" width="11.7109375" style="3" customWidth="1"/>
    <col min="12" max="12" width="10.42578125" style="3" customWidth="1"/>
    <col min="13" max="14" width="11.7109375" style="3" customWidth="1"/>
    <col min="15" max="15" width="10.42578125" style="3" customWidth="1"/>
    <col min="16" max="17" width="11.7109375" style="3" customWidth="1"/>
    <col min="18" max="18" width="10.42578125" style="3" customWidth="1"/>
    <col min="19" max="19" width="11.7109375" style="3" customWidth="1"/>
    <col min="20" max="20" width="11" style="3" customWidth="1"/>
    <col min="21" max="21" width="9.7109375" style="4" customWidth="1"/>
    <col min="22" max="22" width="8.85546875" style="4" customWidth="1"/>
    <col min="23" max="23" width="6.140625" style="3" customWidth="1"/>
    <col min="24" max="24" width="10" style="3" customWidth="1"/>
    <col min="25" max="25" width="6.5703125" style="3" customWidth="1"/>
    <col min="26" max="26" width="10.140625" style="3" customWidth="1"/>
    <col min="27" max="27" width="11.42578125" style="3" customWidth="1"/>
    <col min="28" max="16384" width="11.42578125" style="3"/>
  </cols>
  <sheetData>
    <row r="1" spans="1:41" s="87" customFormat="1" ht="30" customHeight="1" x14ac:dyDescent="0.2">
      <c r="P1" s="136"/>
    </row>
    <row r="2" spans="1:41" s="87" customFormat="1" x14ac:dyDescent="0.2">
      <c r="A2" s="177" t="s">
        <v>36</v>
      </c>
    </row>
    <row r="3" spans="1:41" ht="21" x14ac:dyDescent="0.2">
      <c r="A3" s="237" t="s">
        <v>112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spans="1:41" ht="15.75" customHeight="1" x14ac:dyDescent="0.2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</row>
    <row r="5" spans="1:41" ht="8.25" customHeight="1" x14ac:dyDescent="0.2"/>
    <row r="6" spans="1:41" ht="15" customHeight="1" x14ac:dyDescent="0.2">
      <c r="A6" s="239" t="s">
        <v>8</v>
      </c>
      <c r="B6" s="241" t="s">
        <v>4</v>
      </c>
      <c r="C6" s="164"/>
      <c r="D6" s="243" t="s">
        <v>5</v>
      </c>
      <c r="E6" s="243" t="s">
        <v>6</v>
      </c>
      <c r="F6" s="245" t="s">
        <v>34</v>
      </c>
      <c r="G6" s="247" t="s">
        <v>35</v>
      </c>
      <c r="H6" s="249" t="s">
        <v>25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27" t="s">
        <v>15</v>
      </c>
      <c r="V6" s="227" t="s">
        <v>16</v>
      </c>
      <c r="W6" s="229" t="s">
        <v>14</v>
      </c>
      <c r="X6" s="231" t="s">
        <v>23</v>
      </c>
      <c r="Y6" s="233" t="s">
        <v>10</v>
      </c>
      <c r="Z6" s="234"/>
      <c r="AA6" s="6"/>
    </row>
    <row r="7" spans="1:41" ht="15" customHeight="1" x14ac:dyDescent="0.2">
      <c r="A7" s="240"/>
      <c r="B7" s="242"/>
      <c r="C7" s="165" t="s">
        <v>32</v>
      </c>
      <c r="D7" s="244"/>
      <c r="E7" s="244"/>
      <c r="F7" s="246"/>
      <c r="G7" s="248"/>
      <c r="H7" s="8">
        <v>44197</v>
      </c>
      <c r="I7" s="8" t="s">
        <v>18</v>
      </c>
      <c r="J7" s="8" t="s">
        <v>22</v>
      </c>
      <c r="K7" s="8">
        <v>44286</v>
      </c>
      <c r="L7" s="8" t="s">
        <v>19</v>
      </c>
      <c r="M7" s="8" t="s">
        <v>27</v>
      </c>
      <c r="N7" s="8">
        <v>44377</v>
      </c>
      <c r="O7" s="8" t="s">
        <v>20</v>
      </c>
      <c r="P7" s="8" t="s">
        <v>26</v>
      </c>
      <c r="Q7" s="8">
        <v>44469</v>
      </c>
      <c r="R7" s="8" t="s">
        <v>21</v>
      </c>
      <c r="S7" s="8" t="s">
        <v>28</v>
      </c>
      <c r="T7" s="8">
        <v>44561</v>
      </c>
      <c r="U7" s="252"/>
      <c r="V7" s="228"/>
      <c r="W7" s="230"/>
      <c r="X7" s="232"/>
      <c r="Y7" s="178" t="s">
        <v>9</v>
      </c>
      <c r="Z7" s="178" t="s">
        <v>17</v>
      </c>
    </row>
    <row r="8" spans="1:41" ht="15.75" customHeight="1" x14ac:dyDescent="0.2">
      <c r="A8" s="135" t="s">
        <v>111</v>
      </c>
      <c r="B8" s="129">
        <v>-3.5000000000000001E-3</v>
      </c>
      <c r="C8" s="130" t="s">
        <v>38</v>
      </c>
      <c r="D8" s="130" t="s">
        <v>39</v>
      </c>
      <c r="E8" s="130" t="s">
        <v>38</v>
      </c>
      <c r="F8" s="131">
        <v>44165</v>
      </c>
      <c r="G8" s="131">
        <v>44253</v>
      </c>
      <c r="H8" s="13">
        <v>3000000</v>
      </c>
      <c r="I8" s="132">
        <f t="shared" ref="I8:I9" si="0">31+28+31</f>
        <v>90</v>
      </c>
      <c r="J8" s="15">
        <f t="shared" ref="J8:J9" si="1">H8*$B8/360*I8</f>
        <v>-2625</v>
      </c>
      <c r="K8" s="13">
        <v>3000000</v>
      </c>
      <c r="L8" s="132">
        <f t="shared" ref="L8:L9" si="2">31+28+31</f>
        <v>90</v>
      </c>
      <c r="M8" s="15">
        <f t="shared" ref="M8:M9" si="3">K8*$B8/360*L8</f>
        <v>-2625</v>
      </c>
      <c r="N8" s="13">
        <v>3000000</v>
      </c>
      <c r="O8" s="132">
        <f t="shared" ref="O8:O9" si="4">31+28+31</f>
        <v>90</v>
      </c>
      <c r="P8" s="15">
        <f t="shared" ref="P8:P9" si="5">N8*$B8/360*O8</f>
        <v>-2625</v>
      </c>
      <c r="Q8" s="13">
        <v>3000000</v>
      </c>
      <c r="R8" s="132">
        <f t="shared" ref="R8:R9" si="6">31+28+31</f>
        <v>90</v>
      </c>
      <c r="S8" s="15">
        <f t="shared" ref="S8:S9" si="7">Q8*$B8/360*R8</f>
        <v>-2625</v>
      </c>
      <c r="T8" s="22">
        <v>3000000</v>
      </c>
      <c r="U8" s="16"/>
      <c r="V8" s="16"/>
      <c r="W8" s="17" t="s">
        <v>11</v>
      </c>
      <c r="X8" s="18">
        <f t="shared" ref="X8:X9" si="8">MROUND(J8+M8+P8+S8,-0.05)</f>
        <v>-10500</v>
      </c>
      <c r="Y8" s="19">
        <v>31</v>
      </c>
      <c r="Z8" s="20">
        <f t="shared" ref="Z8:Z9" si="9">MROUND(T8*B8/360*Y8,-10)</f>
        <v>-900</v>
      </c>
      <c r="AF8" s="134"/>
      <c r="AI8" s="134"/>
      <c r="AL8" s="134"/>
      <c r="AO8" s="134"/>
    </row>
    <row r="9" spans="1:41" ht="15.75" customHeight="1" x14ac:dyDescent="0.2">
      <c r="A9" s="180"/>
      <c r="B9" s="129">
        <v>-3.5000000000000001E-3</v>
      </c>
      <c r="C9" s="130" t="s">
        <v>38</v>
      </c>
      <c r="D9" s="130" t="s">
        <v>39</v>
      </c>
      <c r="E9" s="130" t="s">
        <v>38</v>
      </c>
      <c r="F9" s="131">
        <v>44183</v>
      </c>
      <c r="G9" s="131">
        <v>44273</v>
      </c>
      <c r="H9" s="13">
        <v>3000000</v>
      </c>
      <c r="I9" s="132">
        <f t="shared" si="0"/>
        <v>90</v>
      </c>
      <c r="J9" s="15">
        <f t="shared" si="1"/>
        <v>-2625</v>
      </c>
      <c r="K9" s="13">
        <v>3000000</v>
      </c>
      <c r="L9" s="132">
        <f t="shared" si="2"/>
        <v>90</v>
      </c>
      <c r="M9" s="15">
        <f t="shared" si="3"/>
        <v>-2625</v>
      </c>
      <c r="N9" s="13">
        <v>3000000</v>
      </c>
      <c r="O9" s="132">
        <f t="shared" si="4"/>
        <v>90</v>
      </c>
      <c r="P9" s="15">
        <f t="shared" si="5"/>
        <v>-2625</v>
      </c>
      <c r="Q9" s="13">
        <v>3000000</v>
      </c>
      <c r="R9" s="132">
        <f t="shared" si="6"/>
        <v>90</v>
      </c>
      <c r="S9" s="15">
        <f t="shared" si="7"/>
        <v>-2625</v>
      </c>
      <c r="T9" s="22">
        <v>3000000</v>
      </c>
      <c r="U9" s="16"/>
      <c r="V9" s="16"/>
      <c r="W9" s="17" t="s">
        <v>11</v>
      </c>
      <c r="X9" s="18">
        <f t="shared" si="8"/>
        <v>-10500</v>
      </c>
      <c r="Y9" s="19">
        <v>13</v>
      </c>
      <c r="Z9" s="20">
        <f t="shared" si="9"/>
        <v>-380</v>
      </c>
      <c r="AF9" s="134"/>
      <c r="AI9" s="134"/>
      <c r="AL9" s="134"/>
      <c r="AO9" s="134"/>
    </row>
    <row r="10" spans="1:41" ht="15.95" customHeight="1" x14ac:dyDescent="0.2">
      <c r="A10" s="179">
        <v>9221.32</v>
      </c>
      <c r="B10" s="129">
        <v>1.6799999999999999E-2</v>
      </c>
      <c r="C10" s="181"/>
      <c r="D10" s="182" t="s">
        <v>0</v>
      </c>
      <c r="E10" s="130" t="s">
        <v>7</v>
      </c>
      <c r="F10" s="131">
        <v>40899</v>
      </c>
      <c r="G10" s="131">
        <v>44552</v>
      </c>
      <c r="H10" s="13">
        <v>4000000</v>
      </c>
      <c r="I10" s="132"/>
      <c r="J10" s="15"/>
      <c r="K10" s="22">
        <f>H10-$U10</f>
        <v>4000000</v>
      </c>
      <c r="L10" s="132"/>
      <c r="M10" s="15"/>
      <c r="N10" s="22">
        <f t="shared" ref="N10:N13" si="10">K10-$U10</f>
        <v>4000000</v>
      </c>
      <c r="O10" s="132"/>
      <c r="P10" s="133"/>
      <c r="Q10" s="22">
        <f t="shared" ref="Q10:Q13" si="11">N10-$U10</f>
        <v>4000000</v>
      </c>
      <c r="R10" s="132">
        <v>360</v>
      </c>
      <c r="S10" s="15">
        <f>Q10*$B10/360*R10</f>
        <v>67200</v>
      </c>
      <c r="T10" s="22"/>
      <c r="U10" s="16"/>
      <c r="V10" s="16"/>
      <c r="W10" s="17" t="s">
        <v>12</v>
      </c>
      <c r="X10" s="18">
        <f t="shared" ref="X10:X13" si="12">MROUND(J10+M10+P10+S10,0.05)</f>
        <v>67200</v>
      </c>
      <c r="Y10" s="19">
        <v>0</v>
      </c>
      <c r="Z10" s="20">
        <f>MROUND(H10*B10/360*Y10,10)</f>
        <v>0</v>
      </c>
      <c r="AC10" s="114">
        <f t="shared" ref="AC10:AC23" si="13">$B10*H10/H$24</f>
        <v>9.5271850854185866E-4</v>
      </c>
      <c r="AF10" s="114">
        <f t="shared" ref="AF10:AF23" si="14">$B10*K10/K$24</f>
        <v>9.529211571185479E-4</v>
      </c>
      <c r="AI10" s="114">
        <f t="shared" ref="AI10:AI23" si="15">$B10*N10/N$24</f>
        <v>9.5312389192255865E-4</v>
      </c>
      <c r="AL10" s="114">
        <f t="shared" ref="AL10:AL23" si="16">$B10*Q10/Q$24</f>
        <v>9.5332671300893748E-4</v>
      </c>
      <c r="AO10" s="114">
        <f t="shared" ref="AO10:AO23" si="17">$B10*T10/T$24</f>
        <v>0</v>
      </c>
    </row>
    <row r="11" spans="1:41" ht="15.95" customHeight="1" x14ac:dyDescent="0.2">
      <c r="A11" s="179">
        <v>9221.33</v>
      </c>
      <c r="B11" s="129">
        <v>1.5699999999999999E-2</v>
      </c>
      <c r="C11" s="181"/>
      <c r="D11" s="182" t="s">
        <v>3</v>
      </c>
      <c r="E11" s="130" t="s">
        <v>7</v>
      </c>
      <c r="F11" s="131">
        <v>41064</v>
      </c>
      <c r="G11" s="131">
        <v>44715</v>
      </c>
      <c r="H11" s="13">
        <v>4000000</v>
      </c>
      <c r="I11" s="132"/>
      <c r="J11" s="15"/>
      <c r="K11" s="22">
        <f>H11-$U11</f>
        <v>4000000</v>
      </c>
      <c r="L11" s="132">
        <v>360</v>
      </c>
      <c r="M11" s="15">
        <f>K11*$B11/360*L11</f>
        <v>62799.999999999993</v>
      </c>
      <c r="N11" s="22">
        <f t="shared" si="10"/>
        <v>4000000</v>
      </c>
      <c r="O11" s="132"/>
      <c r="P11" s="15"/>
      <c r="Q11" s="22">
        <f t="shared" si="11"/>
        <v>4000000</v>
      </c>
      <c r="R11" s="132"/>
      <c r="S11" s="15"/>
      <c r="T11" s="22">
        <f t="shared" ref="T11:T13" si="18">Q11-$U11</f>
        <v>4000000</v>
      </c>
      <c r="U11" s="16"/>
      <c r="V11" s="16"/>
      <c r="W11" s="17" t="s">
        <v>12</v>
      </c>
      <c r="X11" s="18">
        <f>MROUND(J11+M11+P11+S11,0.05)</f>
        <v>62800</v>
      </c>
      <c r="Y11" s="19">
        <v>207</v>
      </c>
      <c r="Z11" s="20">
        <f>MROUND(N11*B11/360*Y11,10)</f>
        <v>36110</v>
      </c>
      <c r="AC11" s="114">
        <f t="shared" si="13"/>
        <v>8.9033813000637975E-4</v>
      </c>
      <c r="AF11" s="114">
        <f t="shared" si="14"/>
        <v>8.9052750992626192E-4</v>
      </c>
      <c r="AI11" s="114">
        <f t="shared" si="15"/>
        <v>8.9071697042762915E-4</v>
      </c>
      <c r="AL11" s="114">
        <f t="shared" si="16"/>
        <v>8.9090651156192358E-4</v>
      </c>
      <c r="AO11" s="114">
        <f t="shared" si="17"/>
        <v>9.4471605866867231E-4</v>
      </c>
    </row>
    <row r="12" spans="1:41" ht="15.95" customHeight="1" x14ac:dyDescent="0.2">
      <c r="A12" s="128">
        <v>9221.36</v>
      </c>
      <c r="B12" s="183">
        <v>1.6899999999999998E-2</v>
      </c>
      <c r="C12" s="184"/>
      <c r="D12" s="182" t="s">
        <v>0</v>
      </c>
      <c r="E12" s="130" t="s">
        <v>30</v>
      </c>
      <c r="F12" s="131">
        <v>41670</v>
      </c>
      <c r="G12" s="131">
        <v>44957</v>
      </c>
      <c r="H12" s="13">
        <v>5000000</v>
      </c>
      <c r="I12" s="132">
        <v>360</v>
      </c>
      <c r="J12" s="15">
        <f>H12*$B12/360*I12</f>
        <v>84499.999999999985</v>
      </c>
      <c r="K12" s="22">
        <v>5000000</v>
      </c>
      <c r="L12" s="132"/>
      <c r="M12" s="15"/>
      <c r="N12" s="22">
        <f>K12-$U12</f>
        <v>5000000</v>
      </c>
      <c r="O12" s="132"/>
      <c r="P12" s="15"/>
      <c r="Q12" s="22">
        <f>N12-$U12</f>
        <v>5000000</v>
      </c>
      <c r="R12" s="132"/>
      <c r="S12" s="15"/>
      <c r="T12" s="22">
        <f>Q12-$U12</f>
        <v>5000000</v>
      </c>
      <c r="U12" s="16"/>
      <c r="V12" s="16"/>
      <c r="W12" s="17" t="s">
        <v>12</v>
      </c>
      <c r="X12" s="18">
        <f>MROUND(J12+M12+P12+S12,0.05)</f>
        <v>84500</v>
      </c>
      <c r="Y12" s="19">
        <v>330</v>
      </c>
      <c r="Z12" s="20">
        <f>MROUND(K12*B12/360*Y12,10)</f>
        <v>77460</v>
      </c>
      <c r="AC12" s="114">
        <f t="shared" si="13"/>
        <v>1.1979868150563547E-3</v>
      </c>
      <c r="AF12" s="114">
        <f t="shared" si="14"/>
        <v>1.1982416335791263E-3</v>
      </c>
      <c r="AI12" s="114">
        <f t="shared" si="15"/>
        <v>1.198496560527622E-3</v>
      </c>
      <c r="AL12" s="114">
        <f t="shared" si="16"/>
        <v>1.1987515959710595E-3</v>
      </c>
      <c r="AO12" s="114">
        <f t="shared" si="17"/>
        <v>1.2711545693869875E-3</v>
      </c>
    </row>
    <row r="13" spans="1:41" ht="15.95" customHeight="1" x14ac:dyDescent="0.2">
      <c r="A13" s="185">
        <v>9221.35</v>
      </c>
      <c r="B13" s="183">
        <v>1.38E-2</v>
      </c>
      <c r="C13" s="184"/>
      <c r="D13" s="186" t="s">
        <v>29</v>
      </c>
      <c r="E13" s="130" t="s">
        <v>30</v>
      </c>
      <c r="F13" s="131">
        <v>41346</v>
      </c>
      <c r="G13" s="131">
        <v>44998</v>
      </c>
      <c r="H13" s="13">
        <v>1535000</v>
      </c>
      <c r="I13" s="132">
        <f>31+28+31</f>
        <v>90</v>
      </c>
      <c r="J13" s="15">
        <f>H13*$B13/360*I13</f>
        <v>5295.75</v>
      </c>
      <c r="K13" s="22">
        <f>H13-$U13</f>
        <v>1520000</v>
      </c>
      <c r="L13" s="132">
        <v>90</v>
      </c>
      <c r="M13" s="15">
        <f>K13*$B13/360*L13</f>
        <v>5244</v>
      </c>
      <c r="N13" s="22">
        <f t="shared" si="10"/>
        <v>1505000</v>
      </c>
      <c r="O13" s="132">
        <v>90</v>
      </c>
      <c r="P13" s="15">
        <f>N13*$B13/360*O13</f>
        <v>5192.25</v>
      </c>
      <c r="Q13" s="22">
        <f t="shared" si="11"/>
        <v>1490000</v>
      </c>
      <c r="R13" s="132">
        <v>90</v>
      </c>
      <c r="S13" s="15">
        <f>Q13*$B13/360*R13</f>
        <v>5140.5</v>
      </c>
      <c r="T13" s="22">
        <f t="shared" si="18"/>
        <v>1475000</v>
      </c>
      <c r="U13" s="16">
        <v>15000</v>
      </c>
      <c r="V13" s="16">
        <f>U13*4</f>
        <v>60000</v>
      </c>
      <c r="W13" s="17" t="s">
        <v>11</v>
      </c>
      <c r="X13" s="18">
        <f t="shared" si="12"/>
        <v>20872.5</v>
      </c>
      <c r="Y13" s="19">
        <f>30-13</f>
        <v>17</v>
      </c>
      <c r="Z13" s="20">
        <f>MROUND(T13*B13/360*Y13,10)</f>
        <v>960</v>
      </c>
      <c r="AC13" s="114">
        <f t="shared" si="13"/>
        <v>3.0031899057205645E-4</v>
      </c>
      <c r="AF13" s="114">
        <f t="shared" si="14"/>
        <v>2.9744753261486102E-4</v>
      </c>
      <c r="AI13" s="114">
        <f t="shared" si="15"/>
        <v>2.945748528473158E-4</v>
      </c>
      <c r="AL13" s="114">
        <f t="shared" si="16"/>
        <v>2.9170095048943113E-4</v>
      </c>
      <c r="AO13" s="114">
        <f t="shared" si="17"/>
        <v>3.0620534035351635E-4</v>
      </c>
    </row>
    <row r="14" spans="1:41" ht="15.95" customHeight="1" x14ac:dyDescent="0.2">
      <c r="A14" s="185">
        <v>9221.34</v>
      </c>
      <c r="B14" s="183">
        <v>1.4999999999999999E-2</v>
      </c>
      <c r="C14" s="184"/>
      <c r="D14" s="186" t="s">
        <v>3</v>
      </c>
      <c r="E14" s="130" t="s">
        <v>7</v>
      </c>
      <c r="F14" s="131">
        <v>41104</v>
      </c>
      <c r="G14" s="131">
        <v>45485</v>
      </c>
      <c r="H14" s="13">
        <v>4000000</v>
      </c>
      <c r="I14" s="132"/>
      <c r="J14" s="15"/>
      <c r="K14" s="22">
        <f>H14-$U14</f>
        <v>4000000</v>
      </c>
      <c r="L14" s="132"/>
      <c r="M14" s="15"/>
      <c r="N14" s="22">
        <f>K14-$U14</f>
        <v>4000000</v>
      </c>
      <c r="O14" s="132">
        <v>360</v>
      </c>
      <c r="P14" s="15">
        <f>N14*$B14/360*O14</f>
        <v>60000</v>
      </c>
      <c r="Q14" s="22">
        <f>N14-$U14</f>
        <v>4000000</v>
      </c>
      <c r="R14" s="132"/>
      <c r="S14" s="15"/>
      <c r="T14" s="22">
        <f>Q14-$U14</f>
        <v>4000000</v>
      </c>
      <c r="U14" s="16"/>
      <c r="V14" s="16"/>
      <c r="W14" s="17" t="s">
        <v>12</v>
      </c>
      <c r="X14" s="18">
        <f>MROUND(J14+M14+P14+S14,0.05)</f>
        <v>60000</v>
      </c>
      <c r="Y14" s="19">
        <v>168</v>
      </c>
      <c r="Z14" s="20">
        <f>MROUND(Q14*B14/360*Y14,10)</f>
        <v>28000</v>
      </c>
      <c r="AC14" s="114">
        <f t="shared" si="13"/>
        <v>8.5064152548380238E-4</v>
      </c>
      <c r="AF14" s="114">
        <f t="shared" si="14"/>
        <v>8.5082246171298923E-4</v>
      </c>
      <c r="AI14" s="114">
        <f t="shared" si="15"/>
        <v>8.5100347493085595E-4</v>
      </c>
      <c r="AL14" s="114">
        <f t="shared" si="16"/>
        <v>8.5118456518655126E-4</v>
      </c>
      <c r="AO14" s="114">
        <f t="shared" si="17"/>
        <v>9.0259496051147043E-4</v>
      </c>
    </row>
    <row r="15" spans="1:41" ht="15.95" customHeight="1" x14ac:dyDescent="0.2">
      <c r="A15" s="128">
        <v>9221.3700000000008</v>
      </c>
      <c r="B15" s="183">
        <v>4.4000000000000003E-3</v>
      </c>
      <c r="C15" s="184"/>
      <c r="D15" s="186" t="s">
        <v>3</v>
      </c>
      <c r="E15" s="130" t="s">
        <v>37</v>
      </c>
      <c r="F15" s="131">
        <v>42170</v>
      </c>
      <c r="G15" s="131">
        <v>45824</v>
      </c>
      <c r="H15" s="13">
        <v>5000000</v>
      </c>
      <c r="I15" s="132"/>
      <c r="J15" s="15"/>
      <c r="K15" s="22">
        <v>5000000</v>
      </c>
      <c r="L15" s="132">
        <v>360</v>
      </c>
      <c r="M15" s="15">
        <f>K15*$B15/360*L15</f>
        <v>22000</v>
      </c>
      <c r="N15" s="22">
        <v>5000000</v>
      </c>
      <c r="O15" s="132"/>
      <c r="P15" s="15"/>
      <c r="Q15" s="22">
        <v>5000000</v>
      </c>
      <c r="R15" s="132"/>
      <c r="S15" s="15"/>
      <c r="T15" s="22">
        <v>5000000</v>
      </c>
      <c r="U15" s="16"/>
      <c r="V15" s="16"/>
      <c r="W15" s="17" t="s">
        <v>12</v>
      </c>
      <c r="X15" s="18">
        <f>MROUND(J15+M15+P15+S15,0.05)</f>
        <v>22000</v>
      </c>
      <c r="Y15" s="19">
        <v>196</v>
      </c>
      <c r="Z15" s="20">
        <f>MROUND(N15*B15/360*Y15,10)</f>
        <v>11980</v>
      </c>
      <c r="AC15" s="114">
        <f t="shared" si="13"/>
        <v>3.119018926773942E-4</v>
      </c>
      <c r="AF15" s="114">
        <f t="shared" si="14"/>
        <v>3.1196823596142936E-4</v>
      </c>
      <c r="AI15" s="114">
        <f t="shared" si="15"/>
        <v>3.1203460747464718E-4</v>
      </c>
      <c r="AL15" s="114">
        <f t="shared" si="16"/>
        <v>3.1210100723506878E-4</v>
      </c>
      <c r="AO15" s="114">
        <f t="shared" si="17"/>
        <v>3.3095148552087249E-4</v>
      </c>
    </row>
    <row r="16" spans="1:41" ht="15.95" customHeight="1" x14ac:dyDescent="0.2">
      <c r="A16" s="179">
        <v>9221.25</v>
      </c>
      <c r="B16" s="129">
        <v>9.7999999999999997E-3</v>
      </c>
      <c r="C16" s="181"/>
      <c r="D16" s="182" t="s">
        <v>2</v>
      </c>
      <c r="E16" s="130" t="s">
        <v>41</v>
      </c>
      <c r="F16" s="131">
        <v>43068</v>
      </c>
      <c r="G16" s="131">
        <v>46720</v>
      </c>
      <c r="H16" s="13">
        <v>10000000</v>
      </c>
      <c r="I16" s="132"/>
      <c r="J16" s="133"/>
      <c r="K16" s="13">
        <v>10000000</v>
      </c>
      <c r="L16" s="132"/>
      <c r="M16" s="15"/>
      <c r="N16" s="13">
        <v>10000000</v>
      </c>
      <c r="O16" s="132"/>
      <c r="P16" s="15"/>
      <c r="Q16" s="13">
        <v>10000000</v>
      </c>
      <c r="R16" s="132">
        <v>360</v>
      </c>
      <c r="S16" s="15">
        <f>Q16*$B16/360*R16</f>
        <v>98000</v>
      </c>
      <c r="T16" s="22">
        <v>10000000</v>
      </c>
      <c r="U16" s="16"/>
      <c r="V16" s="16"/>
      <c r="W16" s="17" t="s">
        <v>12</v>
      </c>
      <c r="X16" s="18">
        <f t="shared" ref="X16" si="19">MROUND(J16+M16+P16+S16,0.05)</f>
        <v>98000</v>
      </c>
      <c r="Y16" s="19">
        <v>32</v>
      </c>
      <c r="Z16" s="20">
        <f>MROUND(T16*B16/360*Y16,10)</f>
        <v>8710</v>
      </c>
      <c r="AC16" s="114">
        <f t="shared" si="13"/>
        <v>1.3893811582902104E-3</v>
      </c>
      <c r="AF16" s="114">
        <f t="shared" si="14"/>
        <v>1.3896766874645491E-3</v>
      </c>
      <c r="AI16" s="114">
        <f t="shared" si="15"/>
        <v>1.3899723423870648E-3</v>
      </c>
      <c r="AL16" s="114">
        <f t="shared" si="16"/>
        <v>1.3902681231380337E-3</v>
      </c>
      <c r="AO16" s="114">
        <f t="shared" si="17"/>
        <v>1.4742384355020685E-3</v>
      </c>
    </row>
    <row r="17" spans="1:41" ht="15.95" customHeight="1" x14ac:dyDescent="0.2">
      <c r="A17" s="128">
        <v>9221.3799999999992</v>
      </c>
      <c r="B17" s="183">
        <v>4.0000000000000001E-3</v>
      </c>
      <c r="C17" s="184"/>
      <c r="D17" s="186" t="s">
        <v>3</v>
      </c>
      <c r="E17" s="130" t="s">
        <v>7</v>
      </c>
      <c r="F17" s="131">
        <v>42551</v>
      </c>
      <c r="G17" s="131">
        <v>46934</v>
      </c>
      <c r="H17" s="13">
        <v>5000000</v>
      </c>
      <c r="I17" s="132"/>
      <c r="J17" s="133"/>
      <c r="K17" s="13">
        <v>5000000</v>
      </c>
      <c r="L17" s="132"/>
      <c r="M17" s="15">
        <f>K17*B17</f>
        <v>20000</v>
      </c>
      <c r="N17" s="13">
        <v>5000000</v>
      </c>
      <c r="O17" s="132"/>
      <c r="P17" s="133"/>
      <c r="Q17" s="13">
        <v>5000000</v>
      </c>
      <c r="R17" s="132"/>
      <c r="S17" s="15"/>
      <c r="T17" s="22">
        <v>5000000</v>
      </c>
      <c r="U17" s="16"/>
      <c r="V17" s="16"/>
      <c r="W17" s="17" t="s">
        <v>12</v>
      </c>
      <c r="X17" s="18">
        <f>MROUND(J17+M17+P17+S17,0.05)</f>
        <v>20000</v>
      </c>
      <c r="Y17" s="19">
        <v>180</v>
      </c>
      <c r="Z17" s="20">
        <f>MROUND(N17*B17/360*Y17,10)</f>
        <v>10000</v>
      </c>
      <c r="AC17" s="114">
        <f t="shared" si="13"/>
        <v>2.8354717516126748E-4</v>
      </c>
      <c r="AF17" s="114">
        <f t="shared" si="14"/>
        <v>2.836074872376631E-4</v>
      </c>
      <c r="AI17" s="114">
        <f t="shared" si="15"/>
        <v>2.8366782497695197E-4</v>
      </c>
      <c r="AL17" s="114">
        <f t="shared" si="16"/>
        <v>2.8372818839551709E-4</v>
      </c>
      <c r="AO17" s="114">
        <f t="shared" si="17"/>
        <v>3.0086498683715683E-4</v>
      </c>
    </row>
    <row r="18" spans="1:41" ht="15.95" customHeight="1" x14ac:dyDescent="0.2">
      <c r="A18" s="179">
        <v>9221.39</v>
      </c>
      <c r="B18" s="183">
        <v>4.1999999999999997E-3</v>
      </c>
      <c r="C18" s="184"/>
      <c r="D18" s="186" t="s">
        <v>3</v>
      </c>
      <c r="E18" s="130" t="s">
        <v>7</v>
      </c>
      <c r="F18" s="131">
        <v>42698</v>
      </c>
      <c r="G18" s="131">
        <v>47081</v>
      </c>
      <c r="H18" s="13">
        <v>5000000</v>
      </c>
      <c r="I18" s="132"/>
      <c r="J18" s="133"/>
      <c r="K18" s="13">
        <v>5000000</v>
      </c>
      <c r="L18" s="132"/>
      <c r="M18" s="15"/>
      <c r="N18" s="13">
        <v>5000000</v>
      </c>
      <c r="O18" s="132"/>
      <c r="P18" s="133"/>
      <c r="Q18" s="13">
        <v>5000000</v>
      </c>
      <c r="R18" s="132">
        <v>360</v>
      </c>
      <c r="S18" s="15">
        <f>Q18*$B18/360*R18</f>
        <v>21000</v>
      </c>
      <c r="T18" s="22">
        <v>5000000</v>
      </c>
      <c r="U18" s="16"/>
      <c r="V18" s="16"/>
      <c r="W18" s="17" t="s">
        <v>12</v>
      </c>
      <c r="X18" s="18">
        <f>MROUND(J18+M18+P18+S18,0.05)</f>
        <v>21000</v>
      </c>
      <c r="Y18" s="19">
        <v>37</v>
      </c>
      <c r="Z18" s="20">
        <f>MROUND(T18*B18/360*Y18,10)</f>
        <v>2160</v>
      </c>
      <c r="AC18" s="114">
        <f t="shared" si="13"/>
        <v>2.9772453391933081E-4</v>
      </c>
      <c r="AF18" s="114">
        <f t="shared" si="14"/>
        <v>2.9778786159954625E-4</v>
      </c>
      <c r="AI18" s="114">
        <f t="shared" si="15"/>
        <v>2.978512162257996E-4</v>
      </c>
      <c r="AL18" s="114">
        <f t="shared" si="16"/>
        <v>2.9791459781529296E-4</v>
      </c>
      <c r="AO18" s="114">
        <f t="shared" si="17"/>
        <v>3.1590823617901466E-4</v>
      </c>
    </row>
    <row r="19" spans="1:41" ht="15.95" customHeight="1" x14ac:dyDescent="0.2">
      <c r="A19" s="128">
        <v>9221.42</v>
      </c>
      <c r="B19" s="183">
        <v>1E-3</v>
      </c>
      <c r="C19" s="184"/>
      <c r="D19" s="186" t="s">
        <v>48</v>
      </c>
      <c r="E19" s="130" t="s">
        <v>49</v>
      </c>
      <c r="F19" s="131">
        <v>43734</v>
      </c>
      <c r="G19" s="131">
        <v>47387</v>
      </c>
      <c r="H19" s="13">
        <v>5000000</v>
      </c>
      <c r="I19" s="132"/>
      <c r="J19" s="133"/>
      <c r="K19" s="13">
        <v>5000000</v>
      </c>
      <c r="L19" s="132"/>
      <c r="M19" s="15"/>
      <c r="N19" s="13">
        <v>5000000</v>
      </c>
      <c r="O19" s="132">
        <v>360</v>
      </c>
      <c r="P19" s="133">
        <f>N19*$B19/360*O19</f>
        <v>5000</v>
      </c>
      <c r="Q19" s="13">
        <v>5000000</v>
      </c>
      <c r="R19" s="132"/>
      <c r="S19" s="15"/>
      <c r="T19" s="22">
        <v>5000000</v>
      </c>
      <c r="U19" s="16"/>
      <c r="V19" s="16"/>
      <c r="W19" s="17" t="s">
        <v>12</v>
      </c>
      <c r="X19" s="18">
        <f>MROUND(J19+M19+P19+S19,0.05)</f>
        <v>5000</v>
      </c>
      <c r="Y19" s="19">
        <v>97</v>
      </c>
      <c r="Z19" s="20">
        <f>MROUND(K19*B19/360*Y19,10)</f>
        <v>1350</v>
      </c>
      <c r="AC19" s="114">
        <f t="shared" si="13"/>
        <v>7.0886793790316869E-5</v>
      </c>
      <c r="AF19" s="114">
        <f t="shared" si="14"/>
        <v>7.0901871809415774E-5</v>
      </c>
      <c r="AI19" s="114">
        <f t="shared" si="15"/>
        <v>7.0916956244237991E-5</v>
      </c>
      <c r="AL19" s="114">
        <f t="shared" si="16"/>
        <v>7.0932047098879272E-5</v>
      </c>
      <c r="AO19" s="114">
        <f t="shared" si="17"/>
        <v>7.5216246709289207E-5</v>
      </c>
    </row>
    <row r="20" spans="1:41" ht="15.95" customHeight="1" x14ac:dyDescent="0.2">
      <c r="A20" s="180"/>
      <c r="B20" s="129">
        <v>-4.0000000000000001E-3</v>
      </c>
      <c r="C20" s="184"/>
      <c r="D20" s="182" t="s">
        <v>113</v>
      </c>
      <c r="E20" s="130" t="s">
        <v>114</v>
      </c>
      <c r="F20" s="131">
        <v>44238</v>
      </c>
      <c r="G20" s="131">
        <v>44419</v>
      </c>
      <c r="H20" s="13">
        <v>4000000</v>
      </c>
      <c r="I20" s="132"/>
      <c r="J20" s="133"/>
      <c r="K20" s="13">
        <v>4000000</v>
      </c>
      <c r="L20" s="132"/>
      <c r="M20" s="133"/>
      <c r="N20" s="13">
        <v>4000000</v>
      </c>
      <c r="O20" s="132">
        <v>180</v>
      </c>
      <c r="P20" s="15">
        <f>N20*$B20/360*O20</f>
        <v>-8000</v>
      </c>
      <c r="Q20" s="13">
        <v>4000000</v>
      </c>
      <c r="R20" s="132">
        <f t="shared" ref="R20" si="20">31+28+31</f>
        <v>90</v>
      </c>
      <c r="S20" s="15">
        <f t="shared" ref="S20" si="21">Q20*$B20/360*R20</f>
        <v>-4000</v>
      </c>
      <c r="T20" s="22">
        <v>4000000</v>
      </c>
      <c r="U20" s="16"/>
      <c r="V20" s="16"/>
      <c r="W20" s="17" t="s">
        <v>12</v>
      </c>
      <c r="X20" s="18">
        <f t="shared" ref="X20" si="22">MROUND(J20+M20+P20+S20,-0.05)</f>
        <v>-12000</v>
      </c>
      <c r="Y20" s="19">
        <f>31+20</f>
        <v>51</v>
      </c>
      <c r="Z20" s="20">
        <f t="shared" ref="Z20" si="23">MROUND(T20*B20/360*Y20,-10)</f>
        <v>-2270</v>
      </c>
      <c r="AC20" s="114">
        <f t="shared" ref="AC20" si="24">$B20*H20/H$24</f>
        <v>-2.2683774012901395E-4</v>
      </c>
      <c r="AF20" s="114">
        <f t="shared" ref="AF20" si="25">$B20*K20/K$24</f>
        <v>-2.2688598979013047E-4</v>
      </c>
      <c r="AI20" s="114">
        <f t="shared" ref="AI20" si="26">$B20*N20/N$24</f>
        <v>-2.2693425998156159E-4</v>
      </c>
      <c r="AL20" s="114">
        <f t="shared" ref="AL20" si="27">$B20*Q20/Q$24</f>
        <v>-2.2698255071641366E-4</v>
      </c>
      <c r="AO20" s="114">
        <f t="shared" ref="AO20" si="28">$B20*T20/T$24</f>
        <v>-2.4069198946972546E-4</v>
      </c>
    </row>
    <row r="21" spans="1:41" ht="15.95" customHeight="1" x14ac:dyDescent="0.2">
      <c r="A21" s="180"/>
      <c r="B21" s="129">
        <v>2.5000000000000001E-3</v>
      </c>
      <c r="C21" s="184"/>
      <c r="D21" s="182" t="s">
        <v>113</v>
      </c>
      <c r="E21" s="130" t="s">
        <v>30</v>
      </c>
      <c r="F21" s="131">
        <v>44238</v>
      </c>
      <c r="G21" s="131">
        <v>47890</v>
      </c>
      <c r="H21" s="13">
        <v>4000000</v>
      </c>
      <c r="I21" s="132"/>
      <c r="J21" s="133"/>
      <c r="K21" s="13">
        <v>4000000</v>
      </c>
      <c r="L21" s="132"/>
      <c r="M21" s="133"/>
      <c r="N21" s="13">
        <v>4000000</v>
      </c>
      <c r="O21" s="132"/>
      <c r="P21" s="133"/>
      <c r="Q21" s="13">
        <v>4000000</v>
      </c>
      <c r="R21" s="132"/>
      <c r="S21" s="133"/>
      <c r="T21" s="22">
        <v>4000000</v>
      </c>
      <c r="U21" s="16"/>
      <c r="V21" s="16"/>
      <c r="W21" s="17" t="s">
        <v>12</v>
      </c>
      <c r="X21" s="18">
        <f t="shared" ref="X21:X23" si="29">MROUND(J21+M21+P21+S21,0.05)</f>
        <v>0</v>
      </c>
      <c r="Y21" s="19">
        <f>360-31-11</f>
        <v>318</v>
      </c>
      <c r="Z21" s="20">
        <f>MROUND(N21*B21/360*Y21,10)</f>
        <v>8830</v>
      </c>
      <c r="AC21" s="114">
        <f t="shared" si="13"/>
        <v>1.4177358758063374E-4</v>
      </c>
      <c r="AF21" s="114">
        <f t="shared" si="14"/>
        <v>1.4180374361883155E-4</v>
      </c>
      <c r="AI21" s="114">
        <f t="shared" si="15"/>
        <v>1.4183391248847598E-4</v>
      </c>
      <c r="AL21" s="114">
        <f t="shared" si="16"/>
        <v>1.4186409419775854E-4</v>
      </c>
      <c r="AO21" s="114">
        <f t="shared" si="17"/>
        <v>1.5043249341857841E-4</v>
      </c>
    </row>
    <row r="22" spans="1:41" ht="15.95" customHeight="1" x14ac:dyDescent="0.2">
      <c r="A22" s="180"/>
      <c r="B22" s="129">
        <v>4.4999999999999997E-3</v>
      </c>
      <c r="C22" s="184"/>
      <c r="D22" s="182" t="s">
        <v>113</v>
      </c>
      <c r="E22" s="130" t="s">
        <v>30</v>
      </c>
      <c r="F22" s="131">
        <v>44238</v>
      </c>
      <c r="G22" s="131">
        <v>49352</v>
      </c>
      <c r="H22" s="13">
        <v>4000000</v>
      </c>
      <c r="I22" s="132"/>
      <c r="J22" s="133"/>
      <c r="K22" s="13">
        <v>4000000</v>
      </c>
      <c r="L22" s="132"/>
      <c r="M22" s="133"/>
      <c r="N22" s="13">
        <v>4000000</v>
      </c>
      <c r="O22" s="132"/>
      <c r="P22" s="133"/>
      <c r="Q22" s="13">
        <v>4000000</v>
      </c>
      <c r="R22" s="132"/>
      <c r="S22" s="133"/>
      <c r="T22" s="22">
        <v>4000000</v>
      </c>
      <c r="U22" s="16"/>
      <c r="V22" s="16"/>
      <c r="W22" s="17" t="s">
        <v>12</v>
      </c>
      <c r="X22" s="18">
        <f t="shared" si="29"/>
        <v>0</v>
      </c>
      <c r="Y22" s="19">
        <f>360-31-12</f>
        <v>317</v>
      </c>
      <c r="Z22" s="20">
        <f>MROUND(Q22*B22/360*Y22,10)</f>
        <v>15850</v>
      </c>
      <c r="AC22" s="114">
        <f t="shared" si="13"/>
        <v>2.551924576451407E-4</v>
      </c>
      <c r="AF22" s="114">
        <f t="shared" si="14"/>
        <v>2.5524673851389678E-4</v>
      </c>
      <c r="AI22" s="114">
        <f t="shared" si="15"/>
        <v>2.5530104247925681E-4</v>
      </c>
      <c r="AL22" s="114">
        <f t="shared" si="16"/>
        <v>2.5535536955596539E-4</v>
      </c>
      <c r="AO22" s="114">
        <f t="shared" si="17"/>
        <v>2.7077848815344112E-4</v>
      </c>
    </row>
    <row r="23" spans="1:41" ht="15.95" customHeight="1" x14ac:dyDescent="0.2">
      <c r="A23" s="180"/>
      <c r="B23" s="129">
        <v>8.2000000000000007E-3</v>
      </c>
      <c r="C23" s="184"/>
      <c r="D23" s="182" t="s">
        <v>113</v>
      </c>
      <c r="E23" s="130" t="s">
        <v>30</v>
      </c>
      <c r="F23" s="131">
        <v>44238</v>
      </c>
      <c r="G23" s="131">
        <v>51176</v>
      </c>
      <c r="H23" s="13">
        <v>4000000</v>
      </c>
      <c r="I23" s="132"/>
      <c r="J23" s="133"/>
      <c r="K23" s="13">
        <v>4000000</v>
      </c>
      <c r="L23" s="132"/>
      <c r="M23" s="133"/>
      <c r="N23" s="13">
        <v>4000000</v>
      </c>
      <c r="O23" s="132"/>
      <c r="P23" s="133"/>
      <c r="Q23" s="13">
        <v>4000000</v>
      </c>
      <c r="R23" s="132"/>
      <c r="S23" s="133"/>
      <c r="T23" s="22">
        <v>4000000</v>
      </c>
      <c r="U23" s="16"/>
      <c r="V23" s="16"/>
      <c r="W23" s="17" t="s">
        <v>12</v>
      </c>
      <c r="X23" s="18">
        <f t="shared" si="29"/>
        <v>0</v>
      </c>
      <c r="Y23" s="19">
        <f>360-31-10</f>
        <v>319</v>
      </c>
      <c r="Z23" s="20">
        <f>MROUND(T23*B23/360*Y23,10)</f>
        <v>29060</v>
      </c>
      <c r="AC23" s="114">
        <f t="shared" si="13"/>
        <v>4.6501736726447862E-4</v>
      </c>
      <c r="AF23" s="114">
        <f t="shared" si="14"/>
        <v>4.6511627906976747E-4</v>
      </c>
      <c r="AI23" s="114">
        <f t="shared" si="15"/>
        <v>4.6521523296220128E-4</v>
      </c>
      <c r="AL23" s="114">
        <f t="shared" si="16"/>
        <v>4.6531422896864806E-4</v>
      </c>
      <c r="AO23" s="114">
        <f t="shared" si="17"/>
        <v>4.9341857841293715E-4</v>
      </c>
    </row>
    <row r="24" spans="1:41" ht="20.100000000000001" customHeight="1" x14ac:dyDescent="0.2">
      <c r="A24" s="33"/>
      <c r="B24" s="33"/>
      <c r="C24" s="33"/>
      <c r="D24" s="187" t="s">
        <v>13</v>
      </c>
      <c r="E24" s="35"/>
      <c r="F24" s="35"/>
      <c r="G24" s="36"/>
      <c r="H24" s="37">
        <f>SUM(H8:H23)</f>
        <v>70535000</v>
      </c>
      <c r="I24" s="38"/>
      <c r="J24" s="39">
        <f>SUM(J8:J23)</f>
        <v>84545.749999999985</v>
      </c>
      <c r="K24" s="37">
        <f>SUM(K8:K23)</f>
        <v>70520000</v>
      </c>
      <c r="L24" s="38"/>
      <c r="M24" s="39">
        <f>SUM(M8:M23)</f>
        <v>104794</v>
      </c>
      <c r="N24" s="37">
        <f>SUM(N8:N23)</f>
        <v>70505000</v>
      </c>
      <c r="O24" s="38"/>
      <c r="P24" s="39">
        <f>SUM(P8:P23)</f>
        <v>56942.25</v>
      </c>
      <c r="Q24" s="37">
        <f>SUM(Q8:Q23)</f>
        <v>70490000</v>
      </c>
      <c r="R24" s="38"/>
      <c r="S24" s="39">
        <f>SUM(S8:S23)</f>
        <v>182090.5</v>
      </c>
      <c r="T24" s="37">
        <f>SUM(T8:T23)</f>
        <v>66475000</v>
      </c>
      <c r="U24" s="40"/>
      <c r="V24" s="40"/>
      <c r="W24" s="41"/>
      <c r="X24" s="42">
        <f>SUM(X8:X23)</f>
        <v>428372.5</v>
      </c>
      <c r="Y24" s="43"/>
      <c r="Z24" s="44">
        <f>ROUNDDOWN(SUM(Z8:Z23),100)</f>
        <v>226920</v>
      </c>
    </row>
    <row r="25" spans="1:41" ht="17.25" hidden="1" customHeight="1" x14ac:dyDescent="0.2">
      <c r="A25" s="188"/>
      <c r="B25" s="189"/>
      <c r="C25" s="189"/>
      <c r="D25" s="81"/>
      <c r="E25" s="235" t="s">
        <v>33</v>
      </c>
      <c r="F25" s="236"/>
      <c r="G25" s="236"/>
      <c r="H25" s="236"/>
      <c r="I25" s="48"/>
      <c r="J25" s="49"/>
      <c r="K25" s="50"/>
      <c r="L25" s="48"/>
      <c r="M25" s="49"/>
      <c r="N25" s="50"/>
      <c r="O25" s="48"/>
      <c r="P25" s="49"/>
      <c r="Q25" s="50"/>
      <c r="R25" s="48"/>
      <c r="S25" s="49"/>
      <c r="T25" s="50"/>
      <c r="U25" s="3"/>
      <c r="V25" s="3"/>
      <c r="AA25" s="6"/>
    </row>
    <row r="26" spans="1:41" ht="12.75" customHeight="1" x14ac:dyDescent="0.2">
      <c r="B26" s="190"/>
      <c r="C26" s="190"/>
      <c r="D26" s="191"/>
      <c r="E26" s="3" t="s">
        <v>40</v>
      </c>
      <c r="G26" s="192"/>
      <c r="H26" s="193"/>
      <c r="I26" s="193"/>
      <c r="J26" s="193"/>
      <c r="K26" s="62">
        <f>J24/AVERAGE(H24,K24)</f>
        <v>1.198762893906632E-3</v>
      </c>
      <c r="L26" s="193"/>
      <c r="M26" s="193"/>
      <c r="N26" s="62">
        <f>M24/AVERAGE(K24,N24)</f>
        <v>1.4861762098918631E-3</v>
      </c>
      <c r="O26" s="193"/>
      <c r="P26" s="193"/>
      <c r="Q26" s="62">
        <f>P24/AVERAGE(N24,Q24)</f>
        <v>8.0772013191957156E-4</v>
      </c>
      <c r="R26" s="193"/>
      <c r="S26" s="193"/>
      <c r="T26" s="62">
        <f>S24/AVERAGE(Q24,T24)</f>
        <v>2.6589347643558572E-3</v>
      </c>
      <c r="U26" s="213" t="s">
        <v>94</v>
      </c>
      <c r="V26" s="214"/>
      <c r="W26" s="215"/>
      <c r="X26" s="216">
        <v>-177170</v>
      </c>
      <c r="Y26" s="217"/>
      <c r="Z26" s="218"/>
      <c r="AA26" s="219"/>
      <c r="AB26" s="220">
        <f>AVERAGE(AC26,AF26,AI26,AL26,AO26)</f>
        <v>7.0619404728601912E-3</v>
      </c>
      <c r="AC26" s="194">
        <f>SUM(AC8:AC23)</f>
        <v>7.1805911958602109E-3</v>
      </c>
      <c r="AF26" s="194">
        <f>SUM(AF8:AF23)</f>
        <v>7.1791832104367544E-3</v>
      </c>
      <c r="AI26" s="194">
        <f>SUM(AI8:AI23)</f>
        <v>7.1777746259130562E-3</v>
      </c>
      <c r="AL26" s="194">
        <f>SUM(AL8:AL23)</f>
        <v>7.1763654419066524E-3</v>
      </c>
      <c r="AO26" s="194">
        <f>SUM(AO8:AO23)</f>
        <v>6.5957878901842801E-3</v>
      </c>
    </row>
    <row r="27" spans="1:41" ht="12.75" customHeight="1" x14ac:dyDescent="0.2">
      <c r="B27" s="190"/>
      <c r="C27" s="190"/>
      <c r="D27" s="191"/>
      <c r="G27" s="192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5"/>
      <c r="T27" s="196"/>
      <c r="U27" s="221"/>
      <c r="V27" s="222"/>
      <c r="W27" s="223"/>
      <c r="X27" s="216"/>
      <c r="Y27" s="217"/>
      <c r="Z27" s="218"/>
      <c r="AA27" s="219"/>
      <c r="AB27" s="219"/>
    </row>
    <row r="28" spans="1:41" ht="17.25" customHeight="1" x14ac:dyDescent="0.2">
      <c r="B28" s="190"/>
      <c r="C28" s="190"/>
      <c r="D28" s="191"/>
      <c r="G28" s="192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224" t="s">
        <v>24</v>
      </c>
      <c r="V28" s="225"/>
      <c r="W28" s="226"/>
      <c r="X28" s="216">
        <f>X24+X26</f>
        <v>251202.5</v>
      </c>
      <c r="Y28" s="217"/>
      <c r="Z28" s="218">
        <f>X28</f>
        <v>251202.5</v>
      </c>
      <c r="AA28" s="219"/>
      <c r="AB28" s="219"/>
    </row>
    <row r="29" spans="1:41" ht="20.100000000000001" customHeight="1" x14ac:dyDescent="0.2">
      <c r="B29" s="197"/>
      <c r="C29" s="197"/>
      <c r="D29" s="197"/>
      <c r="G29" s="198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200" t="s">
        <v>115</v>
      </c>
      <c r="V29" s="201"/>
      <c r="W29" s="201"/>
      <c r="X29" s="76"/>
      <c r="Y29" s="77"/>
      <c r="Z29" s="78">
        <f>Z24+Z28</f>
        <v>478122.5</v>
      </c>
    </row>
    <row r="30" spans="1:41" ht="15.75" x14ac:dyDescent="0.2">
      <c r="A30" s="92" t="s">
        <v>69</v>
      </c>
      <c r="U30" s="79"/>
      <c r="V30" s="80"/>
      <c r="W30" s="81"/>
      <c r="X30" s="81"/>
      <c r="Y30" s="81"/>
      <c r="Z30" s="202"/>
    </row>
    <row r="31" spans="1:41" x14ac:dyDescent="0.2">
      <c r="G31" s="199"/>
      <c r="H31" s="199"/>
      <c r="U31" s="203" t="s">
        <v>85</v>
      </c>
      <c r="V31" s="204"/>
      <c r="W31" s="125"/>
      <c r="X31" s="125"/>
      <c r="Y31" s="125"/>
      <c r="Z31" s="86">
        <f>Z29/AVERAGE(H24,K24,N24,Q24,T24)</f>
        <v>6.8592281758840827E-3</v>
      </c>
    </row>
    <row r="32" spans="1:41" x14ac:dyDescent="0.2">
      <c r="A32" s="3" t="s">
        <v>43</v>
      </c>
      <c r="G32" s="199"/>
      <c r="H32" s="199"/>
      <c r="U32" s="203"/>
      <c r="V32" s="204"/>
      <c r="W32" s="125"/>
      <c r="X32" s="125"/>
      <c r="Y32" s="125"/>
      <c r="Z32" s="86"/>
    </row>
    <row r="33" spans="1:26" ht="15.75" x14ac:dyDescent="0.2">
      <c r="A33" s="205">
        <v>9210.3799999999992</v>
      </c>
      <c r="B33" s="191">
        <v>-3.3999999999999998E-3</v>
      </c>
      <c r="C33" s="206" t="s">
        <v>38</v>
      </c>
      <c r="D33" s="206" t="s">
        <v>39</v>
      </c>
      <c r="E33" s="206" t="s">
        <v>38</v>
      </c>
      <c r="F33" s="192">
        <v>43613</v>
      </c>
      <c r="G33" s="192">
        <v>43797</v>
      </c>
      <c r="H33" s="193">
        <v>8000000</v>
      </c>
      <c r="O33" s="207" t="s">
        <v>56</v>
      </c>
      <c r="P33" s="207" t="s">
        <v>55</v>
      </c>
      <c r="R33" s="92" t="s">
        <v>68</v>
      </c>
      <c r="T33" s="87"/>
      <c r="V33" s="88"/>
    </row>
    <row r="34" spans="1:26" x14ac:dyDescent="0.2">
      <c r="P34" s="194">
        <v>1E-4</v>
      </c>
      <c r="R34" s="95"/>
      <c r="S34" s="81"/>
      <c r="T34" s="81"/>
      <c r="U34" s="96"/>
      <c r="V34" s="97"/>
      <c r="Z34" s="3">
        <v>-2470</v>
      </c>
    </row>
    <row r="35" spans="1:26" x14ac:dyDescent="0.2">
      <c r="A35" s="3" t="s">
        <v>42</v>
      </c>
      <c r="R35" s="6"/>
      <c r="S35" s="3" t="s">
        <v>59</v>
      </c>
      <c r="T35" s="190"/>
      <c r="U35" s="163">
        <f>H24</f>
        <v>70535000</v>
      </c>
      <c r="V35" s="98"/>
      <c r="Z35" s="87">
        <f>X26+Z34</f>
        <v>-179640</v>
      </c>
    </row>
    <row r="36" spans="1:26" x14ac:dyDescent="0.2">
      <c r="P36" s="208"/>
      <c r="R36" s="6"/>
      <c r="T36" s="190"/>
      <c r="U36" s="163"/>
      <c r="V36" s="98"/>
    </row>
    <row r="37" spans="1:26" x14ac:dyDescent="0.2">
      <c r="A37" s="205">
        <v>9210.42</v>
      </c>
      <c r="B37" s="191">
        <v>-2.5000000000000001E-3</v>
      </c>
      <c r="C37" s="206" t="s">
        <v>38</v>
      </c>
      <c r="D37" s="206" t="s">
        <v>39</v>
      </c>
      <c r="E37" s="206" t="s">
        <v>38</v>
      </c>
      <c r="F37" s="192">
        <v>43797</v>
      </c>
      <c r="G37" s="192">
        <v>43979</v>
      </c>
      <c r="H37" s="193">
        <v>4000000</v>
      </c>
      <c r="O37" s="3">
        <v>1</v>
      </c>
      <c r="P37" s="208">
        <f>H37*P$34*O37*2</f>
        <v>800</v>
      </c>
      <c r="R37" s="6"/>
      <c r="S37" s="190" t="s">
        <v>79</v>
      </c>
      <c r="U37" s="163">
        <f>S62</f>
        <v>12471000</v>
      </c>
      <c r="V37" s="98"/>
      <c r="Z37" s="87">
        <f>SUM(Z10:Z23)+SUM(X10:X23)</f>
        <v>677572.5</v>
      </c>
    </row>
    <row r="38" spans="1:26" ht="13.5" thickBot="1" x14ac:dyDescent="0.25">
      <c r="P38" s="208"/>
      <c r="R38" s="6"/>
      <c r="S38" s="190"/>
      <c r="U38" s="163"/>
      <c r="V38" s="98"/>
    </row>
    <row r="39" spans="1:26" ht="13.5" thickBot="1" x14ac:dyDescent="0.25">
      <c r="A39" s="3" t="s">
        <v>42</v>
      </c>
      <c r="P39" s="208"/>
      <c r="R39" s="6"/>
      <c r="S39" s="190" t="s">
        <v>57</v>
      </c>
      <c r="U39" s="163">
        <v>1963955</v>
      </c>
      <c r="V39" s="98"/>
      <c r="Z39" s="127">
        <f>Z35+Z37</f>
        <v>497932.5</v>
      </c>
    </row>
    <row r="40" spans="1:26" x14ac:dyDescent="0.2">
      <c r="P40" s="208"/>
      <c r="R40" s="6"/>
      <c r="S40" s="190"/>
      <c r="U40" s="163"/>
      <c r="V40" s="98"/>
    </row>
    <row r="41" spans="1:26" x14ac:dyDescent="0.2">
      <c r="A41" s="205">
        <v>9210.4599999999991</v>
      </c>
      <c r="B41" s="191">
        <v>-1.5E-3</v>
      </c>
      <c r="C41" s="206" t="s">
        <v>38</v>
      </c>
      <c r="D41" s="206" t="s">
        <v>39</v>
      </c>
      <c r="E41" s="206" t="s">
        <v>38</v>
      </c>
      <c r="F41" s="192">
        <v>43979</v>
      </c>
      <c r="G41" s="192">
        <v>44165</v>
      </c>
      <c r="H41" s="193">
        <v>6000000</v>
      </c>
      <c r="P41" s="208"/>
      <c r="R41" s="6"/>
      <c r="S41" s="190" t="s">
        <v>65</v>
      </c>
      <c r="U41" s="163">
        <f>U35+U37-U39</f>
        <v>81042045</v>
      </c>
      <c r="V41" s="98"/>
    </row>
    <row r="42" spans="1:26" x14ac:dyDescent="0.2">
      <c r="P42" s="208"/>
      <c r="R42" s="6"/>
      <c r="S42" s="190"/>
      <c r="U42" s="3"/>
      <c r="V42" s="98"/>
    </row>
    <row r="43" spans="1:26" x14ac:dyDescent="0.2">
      <c r="A43" s="3" t="s">
        <v>44</v>
      </c>
      <c r="P43" s="208"/>
      <c r="R43" s="6"/>
      <c r="S43" s="190" t="s">
        <v>58</v>
      </c>
      <c r="U43" s="163">
        <f>T24</f>
        <v>66475000</v>
      </c>
      <c r="V43" s="98"/>
    </row>
    <row r="44" spans="1:26" x14ac:dyDescent="0.2">
      <c r="A44" s="205">
        <v>9210.44</v>
      </c>
      <c r="B44" s="191">
        <v>-3.5999999999999999E-3</v>
      </c>
      <c r="C44" s="206" t="s">
        <v>38</v>
      </c>
      <c r="D44" s="206" t="s">
        <v>39</v>
      </c>
      <c r="E44" s="206" t="s">
        <v>38</v>
      </c>
      <c r="F44" s="192">
        <v>43822</v>
      </c>
      <c r="G44" s="192">
        <v>43913</v>
      </c>
      <c r="H44" s="193">
        <v>1000000</v>
      </c>
      <c r="O44" s="3">
        <v>1</v>
      </c>
      <c r="P44" s="208">
        <f>H48*P$34*O44*2</f>
        <v>600</v>
      </c>
      <c r="R44" s="6"/>
      <c r="S44" s="190"/>
      <c r="U44" s="3"/>
      <c r="V44" s="98"/>
    </row>
    <row r="45" spans="1:26" x14ac:dyDescent="0.2">
      <c r="P45" s="208"/>
      <c r="R45" s="6"/>
      <c r="S45" s="3" t="s">
        <v>61</v>
      </c>
      <c r="U45" s="163">
        <f>U41-U43</f>
        <v>14567045</v>
      </c>
      <c r="V45" s="98"/>
      <c r="X45" s="3" t="s">
        <v>66</v>
      </c>
    </row>
    <row r="46" spans="1:26" x14ac:dyDescent="0.2">
      <c r="A46" s="3" t="s">
        <v>42</v>
      </c>
      <c r="P46" s="208"/>
      <c r="R46" s="99"/>
      <c r="S46" s="100"/>
      <c r="T46" s="100"/>
      <c r="U46" s="100"/>
      <c r="V46" s="101"/>
    </row>
    <row r="47" spans="1:26" x14ac:dyDescent="0.2">
      <c r="P47" s="208"/>
      <c r="U47" s="3"/>
      <c r="V47" s="3"/>
    </row>
    <row r="48" spans="1:26" x14ac:dyDescent="0.2">
      <c r="A48" s="205">
        <v>9210.4500000000007</v>
      </c>
      <c r="B48" s="191">
        <v>-3.7000000000000002E-3</v>
      </c>
      <c r="C48" s="206" t="s">
        <v>38</v>
      </c>
      <c r="D48" s="206" t="s">
        <v>39</v>
      </c>
      <c r="E48" s="206" t="s">
        <v>38</v>
      </c>
      <c r="F48" s="192">
        <v>43913</v>
      </c>
      <c r="G48" s="192">
        <v>44097</v>
      </c>
      <c r="H48" s="193">
        <v>3000000</v>
      </c>
      <c r="P48" s="208"/>
      <c r="U48" s="3"/>
    </row>
    <row r="49" spans="1:41" x14ac:dyDescent="0.2">
      <c r="P49" s="208"/>
      <c r="U49" s="3"/>
    </row>
    <row r="50" spans="1:41" x14ac:dyDescent="0.2">
      <c r="A50" s="3" t="s">
        <v>42</v>
      </c>
      <c r="P50" s="208"/>
      <c r="R50" s="3" t="s">
        <v>73</v>
      </c>
      <c r="S50" s="208">
        <v>4796400.5</v>
      </c>
      <c r="T50" s="87"/>
    </row>
    <row r="51" spans="1:41" x14ac:dyDescent="0.2">
      <c r="O51" s="3">
        <v>10</v>
      </c>
      <c r="P51" s="208" t="e">
        <f>#REF!*P$34*O51</f>
        <v>#REF!</v>
      </c>
      <c r="S51" s="208"/>
    </row>
    <row r="52" spans="1:41" x14ac:dyDescent="0.2">
      <c r="R52" s="3" t="s">
        <v>72</v>
      </c>
      <c r="S52" s="208">
        <v>8433000</v>
      </c>
    </row>
    <row r="53" spans="1:41" x14ac:dyDescent="0.2">
      <c r="P53" s="209"/>
      <c r="S53" s="208"/>
    </row>
    <row r="54" spans="1:41" x14ac:dyDescent="0.2">
      <c r="A54" s="3" t="s">
        <v>46</v>
      </c>
      <c r="P54" s="209"/>
      <c r="R54" s="3" t="s">
        <v>75</v>
      </c>
      <c r="S54" s="208">
        <v>857500</v>
      </c>
    </row>
    <row r="55" spans="1:41" x14ac:dyDescent="0.2">
      <c r="A55" s="205">
        <v>9210.41</v>
      </c>
      <c r="B55" s="191">
        <v>2.3E-2</v>
      </c>
      <c r="C55" s="210" t="s">
        <v>31</v>
      </c>
      <c r="D55" s="211" t="s">
        <v>3</v>
      </c>
      <c r="E55" s="206" t="s">
        <v>1</v>
      </c>
      <c r="F55" s="192">
        <v>40632</v>
      </c>
      <c r="G55" s="192">
        <v>43920</v>
      </c>
      <c r="H55" s="193">
        <v>3000000</v>
      </c>
      <c r="S55" s="208"/>
    </row>
    <row r="56" spans="1:41" x14ac:dyDescent="0.2">
      <c r="R56" s="3" t="s">
        <v>76</v>
      </c>
      <c r="S56" s="208">
        <v>4038000</v>
      </c>
    </row>
    <row r="57" spans="1:41" x14ac:dyDescent="0.2">
      <c r="A57" s="3" t="s">
        <v>88</v>
      </c>
      <c r="O57" s="3">
        <v>15</v>
      </c>
      <c r="P57" s="208">
        <f>H64*P$34*O57</f>
        <v>0</v>
      </c>
      <c r="S57" s="208"/>
    </row>
    <row r="58" spans="1:41" x14ac:dyDescent="0.2">
      <c r="I58" s="163"/>
      <c r="O58" s="3">
        <v>15</v>
      </c>
      <c r="P58" s="208">
        <f>H65*P$34*O58</f>
        <v>0</v>
      </c>
      <c r="R58" s="3" t="s">
        <v>77</v>
      </c>
      <c r="S58" s="208">
        <v>900000</v>
      </c>
      <c r="T58" s="3" t="s">
        <v>82</v>
      </c>
    </row>
    <row r="59" spans="1:41" x14ac:dyDescent="0.2">
      <c r="S59" s="208"/>
    </row>
    <row r="60" spans="1:41" s="4" customFormat="1" x14ac:dyDescent="0.2">
      <c r="A60" s="3" t="s">
        <v>83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78</v>
      </c>
      <c r="S60" s="208">
        <v>0</v>
      </c>
      <c r="T60" s="3" t="s">
        <v>84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s="4" customFormat="1" x14ac:dyDescent="0.2">
      <c r="A61" s="3" t="s">
        <v>50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08"/>
      <c r="T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s="4" customFormat="1" x14ac:dyDescent="0.2">
      <c r="A62" s="3"/>
      <c r="B62" s="191"/>
      <c r="C62" s="210"/>
      <c r="D62" s="211"/>
      <c r="E62" s="206"/>
      <c r="F62" s="192"/>
      <c r="G62" s="192"/>
      <c r="H62" s="193"/>
      <c r="I62" s="3"/>
      <c r="J62" s="3"/>
      <c r="K62" s="3"/>
      <c r="L62" s="3"/>
      <c r="M62" s="3"/>
      <c r="N62" s="3"/>
      <c r="O62" s="125" t="s">
        <v>13</v>
      </c>
      <c r="P62" s="212" t="e">
        <f>SUM(P37:P60)</f>
        <v>#REF!</v>
      </c>
      <c r="Q62" s="3"/>
      <c r="R62" s="3"/>
      <c r="S62" s="124">
        <f>S52+S56+S60</f>
        <v>12471000</v>
      </c>
      <c r="T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s="4" customFormat="1" x14ac:dyDescent="0.2">
      <c r="A63" s="3" t="s">
        <v>89</v>
      </c>
      <c r="B63" s="191"/>
      <c r="C63" s="210"/>
      <c r="D63" s="211"/>
      <c r="E63" s="206"/>
      <c r="F63" s="192"/>
      <c r="G63" s="192"/>
      <c r="H63" s="19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s="4" customFormat="1" x14ac:dyDescent="0.2">
      <c r="A64" s="3"/>
      <c r="B64" s="191"/>
      <c r="C64" s="210"/>
      <c r="D64" s="211"/>
      <c r="E64" s="206"/>
      <c r="F64" s="192"/>
      <c r="G64" s="192"/>
      <c r="H64" s="19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s="4" customFormat="1" x14ac:dyDescent="0.2">
      <c r="A65" s="3"/>
      <c r="B65" s="191"/>
      <c r="C65" s="210"/>
      <c r="D65" s="211"/>
      <c r="E65" s="206"/>
      <c r="F65" s="192"/>
      <c r="G65" s="192"/>
      <c r="H65" s="19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9" spans="1:41" s="4" customFormat="1" x14ac:dyDescent="0.2">
      <c r="A69" s="3"/>
      <c r="B69" s="3"/>
      <c r="C69" s="3"/>
      <c r="D69" s="3"/>
      <c r="E69" s="3"/>
      <c r="F69" s="192"/>
      <c r="G69" s="192"/>
      <c r="H69" s="19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</sheetData>
  <autoFilter ref="A6:Z24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4" showButton="0"/>
    <sortState xmlns:xlrd2="http://schemas.microsoft.com/office/spreadsheetml/2017/richdata2" ref="A9:Z29">
      <sortCondition ref="G5:G26"/>
    </sortState>
  </autoFilter>
  <mergeCells count="15">
    <mergeCell ref="A3:Z3"/>
    <mergeCell ref="A4:Z4"/>
    <mergeCell ref="A6:A7"/>
    <mergeCell ref="B6:B7"/>
    <mergeCell ref="D6:D7"/>
    <mergeCell ref="E6:E7"/>
    <mergeCell ref="F6:F7"/>
    <mergeCell ref="G6:G7"/>
    <mergeCell ref="H6:T6"/>
    <mergeCell ref="U6:U7"/>
    <mergeCell ref="V6:V7"/>
    <mergeCell ref="W6:W7"/>
    <mergeCell ref="X6:X7"/>
    <mergeCell ref="Y6:Z6"/>
    <mergeCell ref="E25:H25"/>
  </mergeCells>
  <pageMargins left="0.19685039370078741" right="0.19685039370078741" top="0" bottom="0.35433070866141736" header="0" footer="0.11811023622047245"/>
  <pageSetup paperSize="8" scale="77" orientation="landscape" r:id="rId1"/>
  <ignoredErrors>
    <ignoredError sqref="H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602D-7896-4FE0-BB69-D983C00983F9}">
  <sheetPr>
    <pageSetUpPr fitToPage="1"/>
  </sheetPr>
  <dimension ref="A1:AO75"/>
  <sheetViews>
    <sheetView workbookViewId="0">
      <pane xSplit="1" topLeftCell="B1" activePane="topRight" state="frozen"/>
      <selection pane="topRight" activeCell="V49" sqref="V49"/>
    </sheetView>
  </sheetViews>
  <sheetFormatPr baseColWidth="10" defaultRowHeight="12.75" x14ac:dyDescent="0.2"/>
  <cols>
    <col min="1" max="1" width="7.5703125" style="3" customWidth="1"/>
    <col min="2" max="2" width="8.28515625" style="3" customWidth="1"/>
    <col min="3" max="3" width="3.85546875" style="3" hidden="1" customWidth="1"/>
    <col min="4" max="4" width="23.140625" style="3" customWidth="1"/>
    <col min="5" max="5" width="17.42578125" style="3" customWidth="1"/>
    <col min="6" max="7" width="8.7109375" style="3" customWidth="1"/>
    <col min="8" max="8" width="10.5703125" style="3" customWidth="1"/>
    <col min="9" max="9" width="10.42578125" style="3" customWidth="1"/>
    <col min="10" max="11" width="11.7109375" style="3" customWidth="1"/>
    <col min="12" max="12" width="10.42578125" style="3" customWidth="1"/>
    <col min="13" max="14" width="11.7109375" style="3" customWidth="1"/>
    <col min="15" max="15" width="10.42578125" style="3" customWidth="1"/>
    <col min="16" max="17" width="11.7109375" style="3" customWidth="1"/>
    <col min="18" max="18" width="10.42578125" style="3" customWidth="1"/>
    <col min="19" max="19" width="11.7109375" style="3" customWidth="1"/>
    <col min="20" max="20" width="11" style="3" customWidth="1"/>
    <col min="21" max="21" width="9.7109375" style="4" customWidth="1"/>
    <col min="22" max="22" width="8.85546875" style="4" customWidth="1"/>
    <col min="23" max="23" width="6.140625" style="3" customWidth="1"/>
    <col min="24" max="24" width="10" style="3" customWidth="1"/>
    <col min="25" max="25" width="6.5703125" style="3" customWidth="1"/>
    <col min="26" max="26" width="10.140625" style="3" customWidth="1"/>
    <col min="27" max="27" width="11.42578125" style="3" customWidth="1"/>
    <col min="28" max="16384" width="11.42578125" style="3"/>
  </cols>
  <sheetData>
    <row r="1" spans="1:41" s="1" customFormat="1" ht="30" customHeight="1" x14ac:dyDescent="0.2">
      <c r="P1" s="136"/>
    </row>
    <row r="2" spans="1:41" s="1" customFormat="1" x14ac:dyDescent="0.2">
      <c r="A2" s="2" t="s">
        <v>36</v>
      </c>
    </row>
    <row r="3" spans="1:41" ht="21" x14ac:dyDescent="0.2">
      <c r="A3" s="237" t="s">
        <v>95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C3" s="21"/>
      <c r="AD3" s="21"/>
      <c r="AE3" s="21"/>
      <c r="AF3" s="21"/>
      <c r="AG3" s="21"/>
      <c r="AH3" s="21"/>
      <c r="AI3" s="21"/>
      <c r="AJ3" s="21"/>
      <c r="AK3" s="21"/>
    </row>
    <row r="4" spans="1:41" ht="15.75" customHeight="1" x14ac:dyDescent="0.2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C4" s="21"/>
      <c r="AD4" s="21"/>
      <c r="AE4" s="21"/>
      <c r="AF4" s="21"/>
      <c r="AG4" s="21"/>
      <c r="AH4" s="21"/>
      <c r="AI4" s="21"/>
      <c r="AJ4" s="21"/>
      <c r="AK4" s="21"/>
    </row>
    <row r="5" spans="1:41" ht="8.25" customHeight="1" x14ac:dyDescent="0.2">
      <c r="AC5" s="21"/>
      <c r="AD5" s="21"/>
      <c r="AE5" s="21"/>
      <c r="AF5" s="21"/>
      <c r="AG5" s="21"/>
      <c r="AH5" s="21"/>
      <c r="AI5" s="21"/>
      <c r="AJ5" s="21"/>
      <c r="AK5" s="21"/>
    </row>
    <row r="6" spans="1:41" ht="15" customHeight="1" x14ac:dyDescent="0.2">
      <c r="A6" s="239" t="s">
        <v>8</v>
      </c>
      <c r="B6" s="241" t="s">
        <v>4</v>
      </c>
      <c r="C6" s="137"/>
      <c r="D6" s="253" t="s">
        <v>5</v>
      </c>
      <c r="E6" s="253" t="s">
        <v>6</v>
      </c>
      <c r="F6" s="255" t="s">
        <v>34</v>
      </c>
      <c r="G6" s="257" t="s">
        <v>35</v>
      </c>
      <c r="H6" s="249" t="s">
        <v>25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9" t="s">
        <v>15</v>
      </c>
      <c r="V6" s="259" t="s">
        <v>16</v>
      </c>
      <c r="W6" s="262" t="s">
        <v>14</v>
      </c>
      <c r="X6" s="231" t="s">
        <v>23</v>
      </c>
      <c r="Y6" s="264" t="s">
        <v>10</v>
      </c>
      <c r="Z6" s="265"/>
      <c r="AA6" s="6"/>
      <c r="AC6" s="21"/>
      <c r="AD6" s="21"/>
      <c r="AE6" s="21"/>
      <c r="AF6" s="21"/>
      <c r="AG6" s="21"/>
      <c r="AH6" s="21"/>
      <c r="AI6" s="21"/>
      <c r="AJ6" s="21"/>
      <c r="AK6" s="21"/>
    </row>
    <row r="7" spans="1:41" ht="15" customHeight="1" x14ac:dyDescent="0.2">
      <c r="A7" s="240"/>
      <c r="B7" s="242"/>
      <c r="C7" s="138" t="s">
        <v>32</v>
      </c>
      <c r="D7" s="254"/>
      <c r="E7" s="254"/>
      <c r="F7" s="256"/>
      <c r="G7" s="258"/>
      <c r="H7" s="8">
        <v>44197</v>
      </c>
      <c r="I7" s="8" t="s">
        <v>18</v>
      </c>
      <c r="J7" s="8" t="s">
        <v>22</v>
      </c>
      <c r="K7" s="8">
        <v>43921</v>
      </c>
      <c r="L7" s="8" t="s">
        <v>19</v>
      </c>
      <c r="M7" s="8" t="s">
        <v>27</v>
      </c>
      <c r="N7" s="8">
        <v>44012</v>
      </c>
      <c r="O7" s="8" t="s">
        <v>20</v>
      </c>
      <c r="P7" s="8" t="s">
        <v>26</v>
      </c>
      <c r="Q7" s="8">
        <v>44104</v>
      </c>
      <c r="R7" s="8" t="s">
        <v>21</v>
      </c>
      <c r="S7" s="8" t="s">
        <v>28</v>
      </c>
      <c r="T7" s="126">
        <v>44561</v>
      </c>
      <c r="U7" s="260"/>
      <c r="V7" s="261"/>
      <c r="W7" s="263"/>
      <c r="X7" s="232"/>
      <c r="Y7" s="9" t="s">
        <v>9</v>
      </c>
      <c r="Z7" s="9" t="s">
        <v>17</v>
      </c>
      <c r="AC7" s="21"/>
      <c r="AD7" s="21"/>
      <c r="AE7" s="21"/>
      <c r="AF7" s="21"/>
      <c r="AG7" s="21"/>
      <c r="AH7" s="21"/>
      <c r="AI7" s="21"/>
      <c r="AJ7" s="21"/>
      <c r="AK7" s="21"/>
    </row>
    <row r="8" spans="1:41" x14ac:dyDescent="0.2">
      <c r="A8" s="135"/>
      <c r="B8" s="139">
        <v>-2.5000000000000001E-3</v>
      </c>
      <c r="C8" s="140" t="s">
        <v>38</v>
      </c>
      <c r="D8" s="140" t="s">
        <v>39</v>
      </c>
      <c r="E8" s="140" t="s">
        <v>38</v>
      </c>
      <c r="F8" s="142">
        <v>44165</v>
      </c>
      <c r="G8" s="142" t="s">
        <v>91</v>
      </c>
      <c r="H8" s="22">
        <v>2000000</v>
      </c>
      <c r="I8" s="14">
        <f t="shared" ref="I8:I9" si="0">31+28+31</f>
        <v>90</v>
      </c>
      <c r="J8" s="15">
        <f t="shared" ref="J8:J9" si="1">H8*$B8/360*I8</f>
        <v>-1250</v>
      </c>
      <c r="K8" s="22">
        <v>2000000</v>
      </c>
      <c r="L8" s="14">
        <f t="shared" ref="L8:L9" si="2">31+28+31</f>
        <v>90</v>
      </c>
      <c r="M8" s="15">
        <f t="shared" ref="M8:M9" si="3">K8*$B8/360*L8</f>
        <v>-1250</v>
      </c>
      <c r="N8" s="22">
        <v>2000000</v>
      </c>
      <c r="O8" s="14">
        <f t="shared" ref="O8:O9" si="4">31+28+31</f>
        <v>90</v>
      </c>
      <c r="P8" s="15">
        <f t="shared" ref="P8:P9" si="5">N8*$B8/360*O8</f>
        <v>-1250</v>
      </c>
      <c r="Q8" s="22">
        <v>2000000</v>
      </c>
      <c r="R8" s="14">
        <f t="shared" ref="R8:R9" si="6">31+28+31</f>
        <v>90</v>
      </c>
      <c r="S8" s="15">
        <f t="shared" ref="S8:S9" si="7">Q8*$B8/360*R8</f>
        <v>-1250</v>
      </c>
      <c r="T8" s="22">
        <v>2000000</v>
      </c>
      <c r="U8" s="16"/>
      <c r="V8" s="16"/>
      <c r="W8" s="17" t="s">
        <v>11</v>
      </c>
      <c r="X8" s="18">
        <f>MROUND(J8+M8+P8+S8,-0.05)</f>
        <v>-5000</v>
      </c>
      <c r="Y8" s="19">
        <v>31</v>
      </c>
      <c r="Z8" s="20">
        <f>MROUND(T8*B8/360*Y8,-10)</f>
        <v>-430</v>
      </c>
      <c r="AF8" s="134"/>
      <c r="AI8" s="134"/>
      <c r="AL8" s="134"/>
      <c r="AO8" s="134"/>
    </row>
    <row r="9" spans="1:41" x14ac:dyDescent="0.2">
      <c r="A9" s="23"/>
      <c r="B9" s="139">
        <v>-2.5000000000000001E-3</v>
      </c>
      <c r="C9" s="140" t="s">
        <v>38</v>
      </c>
      <c r="D9" s="140" t="s">
        <v>39</v>
      </c>
      <c r="E9" s="140" t="s">
        <v>38</v>
      </c>
      <c r="F9" s="141">
        <v>44183</v>
      </c>
      <c r="G9" s="142" t="s">
        <v>91</v>
      </c>
      <c r="H9" s="22">
        <v>2000000</v>
      </c>
      <c r="I9" s="14">
        <f t="shared" si="0"/>
        <v>90</v>
      </c>
      <c r="J9" s="15">
        <f t="shared" si="1"/>
        <v>-1250</v>
      </c>
      <c r="K9" s="22">
        <v>2000000</v>
      </c>
      <c r="L9" s="14">
        <f t="shared" si="2"/>
        <v>90</v>
      </c>
      <c r="M9" s="15">
        <f t="shared" si="3"/>
        <v>-1250</v>
      </c>
      <c r="N9" s="22">
        <v>2000000</v>
      </c>
      <c r="O9" s="14">
        <f t="shared" si="4"/>
        <v>90</v>
      </c>
      <c r="P9" s="15">
        <f t="shared" si="5"/>
        <v>-1250</v>
      </c>
      <c r="Q9" s="22">
        <v>2000000</v>
      </c>
      <c r="R9" s="14">
        <f t="shared" si="6"/>
        <v>90</v>
      </c>
      <c r="S9" s="15">
        <f t="shared" si="7"/>
        <v>-1250</v>
      </c>
      <c r="T9" s="22">
        <v>2000000</v>
      </c>
      <c r="U9" s="16"/>
      <c r="V9" s="16"/>
      <c r="W9" s="17" t="s">
        <v>11</v>
      </c>
      <c r="X9" s="18">
        <f>MROUND(J9+M9+P9+S9,-0.05)</f>
        <v>-5000</v>
      </c>
      <c r="Y9" s="19">
        <v>13</v>
      </c>
      <c r="Z9" s="20">
        <f>MROUND(T9*B9/360*Y9,-10)</f>
        <v>-180</v>
      </c>
      <c r="AF9" s="134"/>
      <c r="AI9" s="134"/>
      <c r="AL9" s="134"/>
      <c r="AO9" s="134"/>
    </row>
    <row r="10" spans="1:41" s="21" customFormat="1" ht="15.95" customHeight="1" x14ac:dyDescent="0.2">
      <c r="A10" s="23">
        <v>9221.32</v>
      </c>
      <c r="B10" s="24">
        <v>1.6799999999999999E-2</v>
      </c>
      <c r="C10" s="25"/>
      <c r="D10" s="26" t="s">
        <v>0</v>
      </c>
      <c r="E10" s="11" t="s">
        <v>7</v>
      </c>
      <c r="F10" s="12">
        <v>40899</v>
      </c>
      <c r="G10" s="12">
        <v>44552</v>
      </c>
      <c r="H10" s="13">
        <v>4000000</v>
      </c>
      <c r="I10" s="14"/>
      <c r="J10" s="15"/>
      <c r="K10" s="22">
        <f>H10-$U10</f>
        <v>4000000</v>
      </c>
      <c r="L10" s="14"/>
      <c r="M10" s="15"/>
      <c r="N10" s="22">
        <f t="shared" ref="N10:N14" si="8">K10-$U10</f>
        <v>4000000</v>
      </c>
      <c r="O10" s="14"/>
      <c r="P10" s="15"/>
      <c r="Q10" s="22">
        <f t="shared" ref="Q10:Q14" si="9">N10-$U10</f>
        <v>4000000</v>
      </c>
      <c r="R10" s="14">
        <v>360</v>
      </c>
      <c r="S10" s="15">
        <f>Q10*$B10/360*R10</f>
        <v>67200</v>
      </c>
      <c r="T10" s="22"/>
      <c r="U10" s="16"/>
      <c r="V10" s="16"/>
      <c r="W10" s="17" t="s">
        <v>12</v>
      </c>
      <c r="X10" s="18">
        <f t="shared" ref="X10:X14" si="10">MROUND(J10+M10+P10+S10,0.05)</f>
        <v>67200</v>
      </c>
      <c r="Y10" s="19">
        <v>0</v>
      </c>
      <c r="Z10" s="20">
        <f>MROUND(H10*B10/360*Y10,10)</f>
        <v>0</v>
      </c>
      <c r="AA10" s="3"/>
      <c r="AC10" s="114">
        <f t="shared" ref="AC10:AC21" si="11">$B10*H10/H$24</f>
        <v>9.015898571141075E-4</v>
      </c>
      <c r="AF10" s="114">
        <f t="shared" ref="AF10:AF21" si="12">$B10*K10/K$24</f>
        <v>9.017713365539453E-4</v>
      </c>
      <c r="AI10" s="114">
        <f t="shared" ref="AI10:AI21" si="13">$B10*N10/N$24</f>
        <v>9.019528890678478E-4</v>
      </c>
      <c r="AL10" s="114">
        <f t="shared" ref="AL10:AL21" si="14">$B10*Q10/Q$24</f>
        <v>9.021345146999597E-4</v>
      </c>
      <c r="AO10" s="114">
        <f t="shared" ref="AO10:AO21" si="15">$B10*T10/T$24</f>
        <v>0</v>
      </c>
    </row>
    <row r="11" spans="1:41" s="21" customFormat="1" ht="15.95" customHeight="1" x14ac:dyDescent="0.2">
      <c r="A11" s="143"/>
      <c r="B11" s="139">
        <v>5.0000000000000001E-3</v>
      </c>
      <c r="C11" s="144"/>
      <c r="D11" s="145" t="s">
        <v>3</v>
      </c>
      <c r="E11" s="146" t="s">
        <v>67</v>
      </c>
      <c r="F11" s="142">
        <v>44552</v>
      </c>
      <c r="G11" s="142">
        <v>44917</v>
      </c>
      <c r="H11" s="13"/>
      <c r="I11" s="14"/>
      <c r="J11" s="15"/>
      <c r="K11" s="22"/>
      <c r="L11" s="14"/>
      <c r="M11" s="15"/>
      <c r="N11" s="22"/>
      <c r="O11" s="14"/>
      <c r="P11" s="15"/>
      <c r="Q11" s="22"/>
      <c r="R11" s="14"/>
      <c r="S11" s="15"/>
      <c r="T11" s="22">
        <v>4000000</v>
      </c>
      <c r="U11" s="16"/>
      <c r="V11" s="16"/>
      <c r="W11" s="17" t="s">
        <v>12</v>
      </c>
      <c r="X11" s="18">
        <f t="shared" si="10"/>
        <v>0</v>
      </c>
      <c r="Y11" s="19">
        <v>9</v>
      </c>
      <c r="Z11" s="20">
        <f>MROUND(T11*B11/360*Y11,10)</f>
        <v>500</v>
      </c>
      <c r="AA11" s="3"/>
      <c r="AC11" s="114"/>
      <c r="AF11" s="114"/>
      <c r="AI11" s="114"/>
      <c r="AL11" s="114"/>
      <c r="AO11" s="114"/>
    </row>
    <row r="12" spans="1:41" s="21" customFormat="1" ht="15.95" customHeight="1" x14ac:dyDescent="0.2">
      <c r="A12" s="23">
        <v>9221.33</v>
      </c>
      <c r="B12" s="24">
        <v>1.5699999999999999E-2</v>
      </c>
      <c r="C12" s="25"/>
      <c r="D12" s="26" t="s">
        <v>3</v>
      </c>
      <c r="E12" s="11" t="s">
        <v>7</v>
      </c>
      <c r="F12" s="12">
        <v>41064</v>
      </c>
      <c r="G12" s="12">
        <v>44715</v>
      </c>
      <c r="H12" s="13">
        <v>4000000</v>
      </c>
      <c r="I12" s="14"/>
      <c r="J12" s="15"/>
      <c r="K12" s="22">
        <f>H12-$U12</f>
        <v>4000000</v>
      </c>
      <c r="L12" s="14">
        <v>360</v>
      </c>
      <c r="M12" s="15">
        <f>K12*$B12/360*L12</f>
        <v>62799.999999999993</v>
      </c>
      <c r="N12" s="22">
        <f t="shared" si="8"/>
        <v>4000000</v>
      </c>
      <c r="O12" s="14"/>
      <c r="P12" s="15"/>
      <c r="Q12" s="22">
        <f t="shared" si="9"/>
        <v>4000000</v>
      </c>
      <c r="R12" s="14"/>
      <c r="S12" s="15"/>
      <c r="T12" s="22">
        <f t="shared" ref="T12:T14" si="16">Q12-$U12</f>
        <v>4000000</v>
      </c>
      <c r="U12" s="16"/>
      <c r="V12" s="16"/>
      <c r="W12" s="17" t="s">
        <v>12</v>
      </c>
      <c r="X12" s="18">
        <f>MROUND(J12+M12+P12+S12,0.05)</f>
        <v>62800</v>
      </c>
      <c r="Y12" s="19">
        <v>207</v>
      </c>
      <c r="Z12" s="20">
        <f>MROUND(N12*B12/360*Y12,10)</f>
        <v>36110</v>
      </c>
      <c r="AC12" s="114">
        <f t="shared" si="11"/>
        <v>8.4255718789830267E-4</v>
      </c>
      <c r="AF12" s="114">
        <f t="shared" si="12"/>
        <v>8.4272678475577015E-4</v>
      </c>
      <c r="AI12" s="114">
        <f t="shared" si="13"/>
        <v>8.4289644990269105E-4</v>
      </c>
      <c r="AL12" s="114">
        <f t="shared" si="14"/>
        <v>8.4306618338031946E-4</v>
      </c>
      <c r="AO12" s="114">
        <f t="shared" si="15"/>
        <v>7.6144286147317359E-4</v>
      </c>
    </row>
    <row r="13" spans="1:41" s="21" customFormat="1" ht="15.95" customHeight="1" x14ac:dyDescent="0.2">
      <c r="A13" s="10">
        <v>9221.36</v>
      </c>
      <c r="B13" s="29">
        <v>1.6899999999999998E-2</v>
      </c>
      <c r="C13" s="30"/>
      <c r="D13" s="26" t="s">
        <v>0</v>
      </c>
      <c r="E13" s="11" t="s">
        <v>30</v>
      </c>
      <c r="F13" s="12">
        <v>41670</v>
      </c>
      <c r="G13" s="12">
        <v>44957</v>
      </c>
      <c r="H13" s="13">
        <v>5000000</v>
      </c>
      <c r="I13" s="14">
        <v>360</v>
      </c>
      <c r="J13" s="15">
        <f>H13*$B13/360*I13</f>
        <v>84499.999999999985</v>
      </c>
      <c r="K13" s="22">
        <v>5000000</v>
      </c>
      <c r="L13" s="14"/>
      <c r="M13" s="15"/>
      <c r="N13" s="22">
        <f>K13-$U13</f>
        <v>5000000</v>
      </c>
      <c r="O13" s="14"/>
      <c r="P13" s="15"/>
      <c r="Q13" s="22">
        <f>N13-$U13</f>
        <v>5000000</v>
      </c>
      <c r="R13" s="14"/>
      <c r="S13" s="15"/>
      <c r="T13" s="22">
        <f>Q13-$U13</f>
        <v>5000000</v>
      </c>
      <c r="U13" s="16"/>
      <c r="V13" s="16"/>
      <c r="W13" s="17" t="s">
        <v>12</v>
      </c>
      <c r="X13" s="18">
        <f>MROUND(J13+M13+P13+S13,0.05)</f>
        <v>84500</v>
      </c>
      <c r="Y13" s="19">
        <v>330</v>
      </c>
      <c r="Z13" s="20">
        <f>MROUND(K13*B13/360*Y13,10)</f>
        <v>77460</v>
      </c>
      <c r="AC13" s="114">
        <f t="shared" si="11"/>
        <v>1.1336955792580665E-3</v>
      </c>
      <c r="AF13" s="114">
        <f t="shared" si="12"/>
        <v>1.1339237788513148E-3</v>
      </c>
      <c r="AI13" s="114">
        <f t="shared" si="13"/>
        <v>1.1341520703308501E-3</v>
      </c>
      <c r="AL13" s="114">
        <f t="shared" si="14"/>
        <v>1.1343804537521814E-3</v>
      </c>
      <c r="AO13" s="114">
        <f t="shared" si="15"/>
        <v>1.024552894816611E-3</v>
      </c>
    </row>
    <row r="14" spans="1:41" s="21" customFormat="1" ht="15.95" customHeight="1" x14ac:dyDescent="0.2">
      <c r="A14" s="28">
        <v>9221.35</v>
      </c>
      <c r="B14" s="29">
        <v>1.38E-2</v>
      </c>
      <c r="C14" s="30"/>
      <c r="D14" s="31" t="s">
        <v>29</v>
      </c>
      <c r="E14" s="11" t="s">
        <v>30</v>
      </c>
      <c r="F14" s="12">
        <v>41346</v>
      </c>
      <c r="G14" s="12">
        <v>44998</v>
      </c>
      <c r="H14" s="13">
        <v>1535000</v>
      </c>
      <c r="I14" s="14">
        <f>31+28+31</f>
        <v>90</v>
      </c>
      <c r="J14" s="15">
        <f>H14*$B14/360*I14</f>
        <v>5295.75</v>
      </c>
      <c r="K14" s="22">
        <f>H14-$U14</f>
        <v>1520000</v>
      </c>
      <c r="L14" s="14">
        <v>90</v>
      </c>
      <c r="M14" s="15">
        <f>K14*$B14/360*L14</f>
        <v>5244</v>
      </c>
      <c r="N14" s="22">
        <f t="shared" si="8"/>
        <v>1505000</v>
      </c>
      <c r="O14" s="14">
        <v>90</v>
      </c>
      <c r="P14" s="15">
        <f>N14*$B14/360*O14</f>
        <v>5192.25</v>
      </c>
      <c r="Q14" s="22">
        <f t="shared" si="9"/>
        <v>1490000</v>
      </c>
      <c r="R14" s="14">
        <v>90</v>
      </c>
      <c r="S14" s="15">
        <f>Q14*$B14/360*R14</f>
        <v>5140.5</v>
      </c>
      <c r="T14" s="22">
        <f t="shared" si="16"/>
        <v>1475000</v>
      </c>
      <c r="U14" s="16">
        <v>15000</v>
      </c>
      <c r="V14" s="16">
        <f>U14*4</f>
        <v>60000</v>
      </c>
      <c r="W14" s="17" t="s">
        <v>11</v>
      </c>
      <c r="X14" s="18">
        <f t="shared" si="10"/>
        <v>20872.5</v>
      </c>
      <c r="Y14" s="19">
        <f>30-13</f>
        <v>17</v>
      </c>
      <c r="Z14" s="20">
        <f>MROUND(T14*B14/360*Y14,10)</f>
        <v>960</v>
      </c>
      <c r="AC14" s="114">
        <f t="shared" si="11"/>
        <v>2.8420205272690683E-4</v>
      </c>
      <c r="AF14" s="114">
        <f t="shared" si="12"/>
        <v>2.8148148148148146E-4</v>
      </c>
      <c r="AI14" s="114">
        <f t="shared" si="13"/>
        <v>2.7875981477753169E-4</v>
      </c>
      <c r="AL14" s="114">
        <f t="shared" si="14"/>
        <v>2.7603705195328231E-4</v>
      </c>
      <c r="AO14" s="114">
        <f t="shared" si="15"/>
        <v>2.4680206123067598E-4</v>
      </c>
    </row>
    <row r="15" spans="1:41" s="21" customFormat="1" ht="15.95" customHeight="1" x14ac:dyDescent="0.2">
      <c r="A15" s="28">
        <v>9221.34</v>
      </c>
      <c r="B15" s="29">
        <v>1.4999999999999999E-2</v>
      </c>
      <c r="C15" s="30"/>
      <c r="D15" s="31" t="s">
        <v>3</v>
      </c>
      <c r="E15" s="11" t="s">
        <v>7</v>
      </c>
      <c r="F15" s="12">
        <v>41104</v>
      </c>
      <c r="G15" s="12">
        <v>45485</v>
      </c>
      <c r="H15" s="13">
        <v>4000000</v>
      </c>
      <c r="I15" s="14"/>
      <c r="J15" s="15"/>
      <c r="K15" s="22">
        <f>H15-$U15</f>
        <v>4000000</v>
      </c>
      <c r="L15" s="14"/>
      <c r="M15" s="15"/>
      <c r="N15" s="22">
        <f>K15-$U15</f>
        <v>4000000</v>
      </c>
      <c r="O15" s="14">
        <v>360</v>
      </c>
      <c r="P15" s="15">
        <f>N15*$B15/360*O15</f>
        <v>60000</v>
      </c>
      <c r="Q15" s="22">
        <f>N15-$U15</f>
        <v>4000000</v>
      </c>
      <c r="R15" s="14"/>
      <c r="S15" s="15"/>
      <c r="T15" s="22">
        <f>Q15-$U15</f>
        <v>4000000</v>
      </c>
      <c r="U15" s="16"/>
      <c r="V15" s="16"/>
      <c r="W15" s="17" t="s">
        <v>12</v>
      </c>
      <c r="X15" s="18">
        <f>MROUND(J15+M15+P15+S15,0.05)</f>
        <v>60000</v>
      </c>
      <c r="Y15" s="19">
        <v>168</v>
      </c>
      <c r="Z15" s="20">
        <f>MROUND(Q15*B15/360*Y15,10)</f>
        <v>28000</v>
      </c>
      <c r="AC15" s="114">
        <f t="shared" si="11"/>
        <v>8.0499094385188164E-4</v>
      </c>
      <c r="AF15" s="114">
        <f t="shared" si="12"/>
        <v>8.0515297906602254E-4</v>
      </c>
      <c r="AI15" s="114">
        <f t="shared" si="13"/>
        <v>8.0531507952486415E-4</v>
      </c>
      <c r="AL15" s="114">
        <f t="shared" si="14"/>
        <v>8.0547724526782122E-4</v>
      </c>
      <c r="AO15" s="114">
        <f t="shared" si="15"/>
        <v>7.2749317975143982E-4</v>
      </c>
    </row>
    <row r="16" spans="1:41" s="21" customFormat="1" ht="15.95" customHeight="1" x14ac:dyDescent="0.2">
      <c r="A16" s="10">
        <v>9221.3700000000008</v>
      </c>
      <c r="B16" s="29">
        <v>4.4000000000000003E-3</v>
      </c>
      <c r="C16" s="30"/>
      <c r="D16" s="31" t="s">
        <v>3</v>
      </c>
      <c r="E16" s="11" t="s">
        <v>37</v>
      </c>
      <c r="F16" s="12">
        <v>42170</v>
      </c>
      <c r="G16" s="12">
        <v>45824</v>
      </c>
      <c r="H16" s="13">
        <v>5000000</v>
      </c>
      <c r="I16" s="14"/>
      <c r="J16" s="15"/>
      <c r="K16" s="22">
        <v>5000000</v>
      </c>
      <c r="L16" s="14">
        <v>360</v>
      </c>
      <c r="M16" s="15">
        <f>K16*$B16/360*L16</f>
        <v>22000</v>
      </c>
      <c r="N16" s="22">
        <v>5000000</v>
      </c>
      <c r="O16" s="14"/>
      <c r="P16" s="15"/>
      <c r="Q16" s="22">
        <v>5000000</v>
      </c>
      <c r="R16" s="14"/>
      <c r="S16" s="15"/>
      <c r="T16" s="22">
        <v>5000000</v>
      </c>
      <c r="U16" s="16"/>
      <c r="V16" s="16"/>
      <c r="W16" s="17" t="s">
        <v>12</v>
      </c>
      <c r="X16" s="18">
        <f>MROUND(J16+M16+P16+S16,0.05)</f>
        <v>22000</v>
      </c>
      <c r="Y16" s="19">
        <v>196</v>
      </c>
      <c r="Z16" s="20">
        <f>MROUND(N16*B16/360*Y16,10)</f>
        <v>11980</v>
      </c>
      <c r="AC16" s="114">
        <f t="shared" si="11"/>
        <v>2.9516334607902327E-4</v>
      </c>
      <c r="AF16" s="114">
        <f t="shared" si="12"/>
        <v>2.9522275899087491E-4</v>
      </c>
      <c r="AI16" s="114">
        <f t="shared" si="13"/>
        <v>2.952821958257835E-4</v>
      </c>
      <c r="AL16" s="114">
        <f t="shared" si="14"/>
        <v>2.9534165659820112E-4</v>
      </c>
      <c r="AO16" s="114">
        <f t="shared" si="15"/>
        <v>2.6674749924219458E-4</v>
      </c>
    </row>
    <row r="17" spans="1:41" s="21" customFormat="1" ht="15.95" customHeight="1" x14ac:dyDescent="0.2">
      <c r="A17" s="23">
        <v>9221.25</v>
      </c>
      <c r="B17" s="24">
        <v>9.7999999999999997E-3</v>
      </c>
      <c r="C17" s="25"/>
      <c r="D17" s="26" t="s">
        <v>2</v>
      </c>
      <c r="E17" s="11" t="s">
        <v>41</v>
      </c>
      <c r="F17" s="12">
        <v>43068</v>
      </c>
      <c r="G17" s="12">
        <v>46720</v>
      </c>
      <c r="H17" s="13">
        <v>10000000</v>
      </c>
      <c r="I17" s="14"/>
      <c r="J17" s="15"/>
      <c r="K17" s="13">
        <v>10000000</v>
      </c>
      <c r="L17" s="14"/>
      <c r="M17" s="15"/>
      <c r="N17" s="13">
        <v>10000000</v>
      </c>
      <c r="O17" s="14"/>
      <c r="P17" s="15"/>
      <c r="Q17" s="13">
        <v>10000000</v>
      </c>
      <c r="R17" s="14">
        <v>360</v>
      </c>
      <c r="S17" s="15">
        <f>Q17*$B17/360*R17</f>
        <v>98000</v>
      </c>
      <c r="T17" s="22">
        <v>10000000</v>
      </c>
      <c r="U17" s="16"/>
      <c r="V17" s="16"/>
      <c r="W17" s="17" t="s">
        <v>12</v>
      </c>
      <c r="X17" s="18">
        <f t="shared" ref="X17" si="17">MROUND(J17+M17+P17+S17,0.05)</f>
        <v>98000</v>
      </c>
      <c r="Y17" s="19">
        <v>32</v>
      </c>
      <c r="Z17" s="20">
        <f>MROUND(T17*B17/360*Y17,10)</f>
        <v>8710</v>
      </c>
      <c r="AC17" s="114">
        <f t="shared" si="11"/>
        <v>1.31481854162474E-3</v>
      </c>
      <c r="AF17" s="114">
        <f t="shared" si="12"/>
        <v>1.3150831991411702E-3</v>
      </c>
      <c r="AI17" s="114">
        <f t="shared" si="13"/>
        <v>1.3153479632239447E-3</v>
      </c>
      <c r="AL17" s="114">
        <f t="shared" si="14"/>
        <v>1.3156128339374413E-3</v>
      </c>
      <c r="AO17" s="114">
        <f t="shared" si="15"/>
        <v>1.1882388602606851E-3</v>
      </c>
    </row>
    <row r="18" spans="1:41" s="21" customFormat="1" ht="15.95" customHeight="1" x14ac:dyDescent="0.2">
      <c r="A18" s="10">
        <v>9221.3799999999992</v>
      </c>
      <c r="B18" s="29">
        <v>4.0000000000000001E-3</v>
      </c>
      <c r="C18" s="30"/>
      <c r="D18" s="31" t="s">
        <v>3</v>
      </c>
      <c r="E18" s="11" t="s">
        <v>7</v>
      </c>
      <c r="F18" s="12">
        <v>42551</v>
      </c>
      <c r="G18" s="12">
        <v>46934</v>
      </c>
      <c r="H18" s="13">
        <v>5000000</v>
      </c>
      <c r="I18" s="14"/>
      <c r="J18" s="15"/>
      <c r="K18" s="13">
        <v>5000000</v>
      </c>
      <c r="L18" s="14"/>
      <c r="M18" s="15">
        <f>K18*B18</f>
        <v>20000</v>
      </c>
      <c r="N18" s="13">
        <v>5000000</v>
      </c>
      <c r="O18" s="14"/>
      <c r="P18" s="15"/>
      <c r="Q18" s="13">
        <v>5000000</v>
      </c>
      <c r="R18" s="14"/>
      <c r="S18" s="15"/>
      <c r="T18" s="22">
        <v>5000000</v>
      </c>
      <c r="U18" s="16"/>
      <c r="V18" s="16"/>
      <c r="W18" s="17" t="s">
        <v>12</v>
      </c>
      <c r="X18" s="18">
        <f>MROUND(J18+M18+P18+S18,0.05)</f>
        <v>20000</v>
      </c>
      <c r="Y18" s="19">
        <v>180</v>
      </c>
      <c r="Z18" s="20">
        <f>MROUND(N18*B18/360*Y18,10)</f>
        <v>10000</v>
      </c>
      <c r="AC18" s="114">
        <f t="shared" si="11"/>
        <v>2.6833031461729392E-4</v>
      </c>
      <c r="AF18" s="114">
        <f t="shared" si="12"/>
        <v>2.6838432635534085E-4</v>
      </c>
      <c r="AI18" s="114">
        <f t="shared" si="13"/>
        <v>2.6843835984162136E-4</v>
      </c>
      <c r="AL18" s="114">
        <f t="shared" si="14"/>
        <v>2.6849241508927372E-4</v>
      </c>
      <c r="AO18" s="114">
        <f t="shared" si="15"/>
        <v>2.4249772658381329E-4</v>
      </c>
    </row>
    <row r="19" spans="1:41" s="21" customFormat="1" ht="15.95" customHeight="1" x14ac:dyDescent="0.2">
      <c r="A19" s="23">
        <v>9221.39</v>
      </c>
      <c r="B19" s="29">
        <v>4.1999999999999997E-3</v>
      </c>
      <c r="C19" s="30"/>
      <c r="D19" s="31" t="s">
        <v>3</v>
      </c>
      <c r="E19" s="11" t="s">
        <v>7</v>
      </c>
      <c r="F19" s="12">
        <v>42698</v>
      </c>
      <c r="G19" s="12">
        <v>47081</v>
      </c>
      <c r="H19" s="13">
        <v>5000000</v>
      </c>
      <c r="I19" s="14"/>
      <c r="J19" s="15"/>
      <c r="K19" s="13">
        <v>5000000</v>
      </c>
      <c r="L19" s="14"/>
      <c r="M19" s="15"/>
      <c r="N19" s="13">
        <v>5000000</v>
      </c>
      <c r="O19" s="14"/>
      <c r="P19" s="15"/>
      <c r="Q19" s="13">
        <v>5000000</v>
      </c>
      <c r="R19" s="14">
        <v>360</v>
      </c>
      <c r="S19" s="15">
        <f>Q19*$B19/360*R19</f>
        <v>21000</v>
      </c>
      <c r="T19" s="22">
        <v>5000000</v>
      </c>
      <c r="U19" s="16"/>
      <c r="V19" s="16"/>
      <c r="W19" s="17" t="s">
        <v>12</v>
      </c>
      <c r="X19" s="18">
        <f>MROUND(J19+M19+P19+S19,0.05)</f>
        <v>21000</v>
      </c>
      <c r="Y19" s="19">
        <v>37</v>
      </c>
      <c r="Z19" s="20">
        <f>MROUND(T19*B19/360*Y19,10)</f>
        <v>2160</v>
      </c>
      <c r="AC19" s="114">
        <f t="shared" si="11"/>
        <v>2.8174683034815859E-4</v>
      </c>
      <c r="AF19" s="114">
        <f t="shared" si="12"/>
        <v>2.8180354267310791E-4</v>
      </c>
      <c r="AI19" s="114">
        <f t="shared" si="13"/>
        <v>2.8186027783370243E-4</v>
      </c>
      <c r="AL19" s="114">
        <f t="shared" si="14"/>
        <v>2.8191703584373739E-4</v>
      </c>
      <c r="AO19" s="114">
        <f t="shared" si="15"/>
        <v>2.5462261291300396E-4</v>
      </c>
    </row>
    <row r="20" spans="1:41" s="21" customFormat="1" ht="15.95" customHeight="1" x14ac:dyDescent="0.2">
      <c r="A20" s="23" t="s">
        <v>81</v>
      </c>
      <c r="B20" s="29">
        <v>1E-3</v>
      </c>
      <c r="C20" s="30"/>
      <c r="D20" s="31" t="s">
        <v>48</v>
      </c>
      <c r="E20" s="11" t="s">
        <v>49</v>
      </c>
      <c r="F20" s="12">
        <v>43734</v>
      </c>
      <c r="G20" s="12">
        <v>47387</v>
      </c>
      <c r="H20" s="13">
        <v>5000000</v>
      </c>
      <c r="I20" s="14"/>
      <c r="J20" s="15"/>
      <c r="K20" s="13">
        <v>5000000</v>
      </c>
      <c r="L20" s="14"/>
      <c r="M20" s="15"/>
      <c r="N20" s="13">
        <v>5000000</v>
      </c>
      <c r="O20" s="14">
        <v>360</v>
      </c>
      <c r="P20" s="15">
        <f>N20*$B20/360*O20</f>
        <v>5000</v>
      </c>
      <c r="Q20" s="13">
        <v>5000000</v>
      </c>
      <c r="R20" s="14"/>
      <c r="S20" s="15"/>
      <c r="T20" s="22">
        <v>5000000</v>
      </c>
      <c r="U20" s="16"/>
      <c r="V20" s="16"/>
      <c r="W20" s="17" t="s">
        <v>12</v>
      </c>
      <c r="X20" s="18">
        <f t="shared" ref="X20:X22" si="18">MROUND(J20+M20+P20+S20,0.05)</f>
        <v>5000</v>
      </c>
      <c r="Y20" s="19">
        <v>97</v>
      </c>
      <c r="Z20" s="20">
        <f>MROUND(K20*B20/360*Y20,10)</f>
        <v>1350</v>
      </c>
      <c r="AC20" s="114">
        <f t="shared" si="11"/>
        <v>6.7082578654323479E-5</v>
      </c>
      <c r="AF20" s="114">
        <f t="shared" si="12"/>
        <v>6.7096081588835212E-5</v>
      </c>
      <c r="AI20" s="114">
        <f t="shared" si="13"/>
        <v>6.7109589960405341E-5</v>
      </c>
      <c r="AL20" s="114">
        <f t="shared" si="14"/>
        <v>6.712310377231843E-5</v>
      </c>
      <c r="AO20" s="114">
        <f t="shared" si="15"/>
        <v>6.0624431645953323E-5</v>
      </c>
    </row>
    <row r="21" spans="1:41" s="21" customFormat="1" ht="15.95" customHeight="1" x14ac:dyDescent="0.2">
      <c r="A21" s="143" t="s">
        <v>81</v>
      </c>
      <c r="B21" s="139">
        <v>5.0000000000000001E-3</v>
      </c>
      <c r="C21" s="147"/>
      <c r="D21" s="145" t="s">
        <v>105</v>
      </c>
      <c r="E21" s="146" t="s">
        <v>49</v>
      </c>
      <c r="F21" s="142">
        <v>44136</v>
      </c>
      <c r="G21" s="142">
        <v>47788</v>
      </c>
      <c r="H21" s="22">
        <v>22000000</v>
      </c>
      <c r="I21" s="14"/>
      <c r="J21" s="15"/>
      <c r="K21" s="22">
        <v>22000000</v>
      </c>
      <c r="L21" s="14"/>
      <c r="M21" s="15"/>
      <c r="N21" s="22">
        <v>22000000</v>
      </c>
      <c r="O21" s="14"/>
      <c r="P21" s="15"/>
      <c r="Q21" s="22">
        <v>22000000</v>
      </c>
      <c r="R21" s="14">
        <v>360</v>
      </c>
      <c r="S21" s="15">
        <f>Q21*$B21/360*R21</f>
        <v>110000</v>
      </c>
      <c r="T21" s="22">
        <v>22000000</v>
      </c>
      <c r="U21" s="16"/>
      <c r="V21" s="16"/>
      <c r="W21" s="17" t="s">
        <v>12</v>
      </c>
      <c r="X21" s="18">
        <f t="shared" si="18"/>
        <v>110000</v>
      </c>
      <c r="Y21" s="19">
        <v>31</v>
      </c>
      <c r="Z21" s="20">
        <f>MROUND(T21*B21/360*Y21,10)</f>
        <v>9470</v>
      </c>
      <c r="AC21" s="114">
        <f t="shared" si="11"/>
        <v>1.4758167303951164E-3</v>
      </c>
      <c r="AF21" s="114">
        <f t="shared" si="12"/>
        <v>1.4761137949543747E-3</v>
      </c>
      <c r="AI21" s="114">
        <f t="shared" si="13"/>
        <v>1.4764109791289175E-3</v>
      </c>
      <c r="AL21" s="114">
        <f t="shared" si="14"/>
        <v>1.4767082829910056E-3</v>
      </c>
      <c r="AO21" s="114">
        <f t="shared" si="15"/>
        <v>1.3337374962109731E-3</v>
      </c>
    </row>
    <row r="22" spans="1:41" s="21" customFormat="1" ht="15.95" customHeight="1" x14ac:dyDescent="0.2">
      <c r="A22" s="143" t="s">
        <v>81</v>
      </c>
      <c r="B22" s="139">
        <v>5.0000000000000001E-3</v>
      </c>
      <c r="C22" s="147"/>
      <c r="D22" s="145" t="s">
        <v>106</v>
      </c>
      <c r="E22" s="146" t="s">
        <v>49</v>
      </c>
      <c r="F22" s="142">
        <v>44470</v>
      </c>
      <c r="G22" s="142">
        <v>48122</v>
      </c>
      <c r="H22" s="13"/>
      <c r="I22" s="14"/>
      <c r="J22" s="15"/>
      <c r="K22" s="13"/>
      <c r="L22" s="14"/>
      <c r="M22" s="15"/>
      <c r="N22" s="13"/>
      <c r="O22" s="14"/>
      <c r="P22" s="15"/>
      <c r="Q22" s="13"/>
      <c r="R22" s="14"/>
      <c r="S22" s="15"/>
      <c r="T22" s="22">
        <v>8000000</v>
      </c>
      <c r="U22" s="16"/>
      <c r="V22" s="16"/>
      <c r="W22" s="17" t="s">
        <v>12</v>
      </c>
      <c r="X22" s="18">
        <f t="shared" si="18"/>
        <v>0</v>
      </c>
      <c r="Y22" s="19">
        <v>92</v>
      </c>
      <c r="Z22" s="20">
        <f>MROUND(T22*B22/360*Y22,10)</f>
        <v>10220</v>
      </c>
      <c r="AC22" s="114"/>
      <c r="AF22" s="114"/>
      <c r="AI22" s="114"/>
      <c r="AL22" s="114"/>
      <c r="AO22" s="114"/>
    </row>
    <row r="23" spans="1:41" s="21" customFormat="1" ht="15.95" customHeight="1" x14ac:dyDescent="0.2">
      <c r="A23" s="23"/>
      <c r="B23" s="24"/>
      <c r="C23" s="30"/>
      <c r="D23" s="26"/>
      <c r="E23" s="11"/>
      <c r="F23" s="12"/>
      <c r="G23" s="12"/>
      <c r="H23" s="13"/>
      <c r="I23" s="14"/>
      <c r="J23" s="15"/>
      <c r="K23" s="13"/>
      <c r="L23" s="14"/>
      <c r="M23" s="15"/>
      <c r="N23" s="13"/>
      <c r="O23" s="14"/>
      <c r="P23" s="15"/>
      <c r="Q23" s="13"/>
      <c r="R23" s="14"/>
      <c r="S23" s="15"/>
      <c r="T23" s="22"/>
      <c r="U23" s="16"/>
      <c r="V23" s="16"/>
      <c r="W23" s="17"/>
      <c r="X23" s="18"/>
      <c r="Y23" s="19"/>
      <c r="Z23" s="20"/>
      <c r="AC23" s="114"/>
      <c r="AF23" s="114"/>
      <c r="AI23" s="114"/>
      <c r="AL23" s="114"/>
      <c r="AO23" s="114"/>
    </row>
    <row r="24" spans="1:41" ht="20.100000000000001" customHeight="1" x14ac:dyDescent="0.2">
      <c r="A24" s="33"/>
      <c r="B24" s="33"/>
      <c r="C24" s="33"/>
      <c r="D24" s="34" t="s">
        <v>13</v>
      </c>
      <c r="E24" s="35"/>
      <c r="F24" s="35"/>
      <c r="G24" s="36"/>
      <c r="H24" s="37">
        <f>SUM(H8:H23)</f>
        <v>74535000</v>
      </c>
      <c r="I24" s="38"/>
      <c r="J24" s="39">
        <f>SUM(J8:J23)</f>
        <v>87295.749999999985</v>
      </c>
      <c r="K24" s="37">
        <f>SUM(K8:K23)</f>
        <v>74520000</v>
      </c>
      <c r="L24" s="38"/>
      <c r="M24" s="39">
        <f>SUM(M8:M23)</f>
        <v>107544</v>
      </c>
      <c r="N24" s="37">
        <f>SUM(N8:N23)</f>
        <v>74505000</v>
      </c>
      <c r="O24" s="38"/>
      <c r="P24" s="39">
        <f>SUM(P8:P23)</f>
        <v>67692.25</v>
      </c>
      <c r="Q24" s="37">
        <f>SUM(Q8:Q23)</f>
        <v>74490000</v>
      </c>
      <c r="R24" s="38"/>
      <c r="S24" s="39">
        <f>SUM(S8:S23)</f>
        <v>298840.5</v>
      </c>
      <c r="T24" s="37">
        <f>SUM(T8:T23)</f>
        <v>82475000</v>
      </c>
      <c r="U24" s="40"/>
      <c r="V24" s="40"/>
      <c r="W24" s="41"/>
      <c r="X24" s="42">
        <f>SUM(X8:X23)</f>
        <v>561372.5</v>
      </c>
      <c r="Y24" s="43"/>
      <c r="Z24" s="44">
        <f>ROUNDDOWN(SUM(Z8:Z23),100)</f>
        <v>196310</v>
      </c>
      <c r="AC24" s="21"/>
      <c r="AD24" s="21"/>
      <c r="AE24" s="21"/>
      <c r="AF24" s="21"/>
      <c r="AG24" s="21"/>
      <c r="AH24" s="21"/>
      <c r="AI24" s="21"/>
      <c r="AJ24" s="21"/>
      <c r="AK24" s="21"/>
    </row>
    <row r="25" spans="1:41" s="21" customFormat="1" ht="17.25" hidden="1" customHeight="1" x14ac:dyDescent="0.2">
      <c r="A25" s="45"/>
      <c r="B25" s="46"/>
      <c r="C25" s="46"/>
      <c r="D25" s="47"/>
      <c r="E25" s="235" t="s">
        <v>33</v>
      </c>
      <c r="F25" s="236"/>
      <c r="G25" s="236"/>
      <c r="H25" s="236"/>
      <c r="I25" s="48"/>
      <c r="J25" s="49"/>
      <c r="K25" s="50"/>
      <c r="L25" s="48"/>
      <c r="M25" s="49"/>
      <c r="N25" s="50"/>
      <c r="O25" s="48"/>
      <c r="P25" s="49"/>
      <c r="Q25" s="50"/>
      <c r="R25" s="48"/>
      <c r="S25" s="49"/>
      <c r="T25" s="50"/>
      <c r="AA25" s="57"/>
    </row>
    <row r="26" spans="1:41" s="21" customFormat="1" ht="12.75" customHeight="1" x14ac:dyDescent="0.2">
      <c r="B26" s="58"/>
      <c r="C26" s="58"/>
      <c r="D26" s="59"/>
      <c r="E26" s="21" t="s">
        <v>40</v>
      </c>
      <c r="G26" s="60"/>
      <c r="H26" s="61"/>
      <c r="I26" s="61"/>
      <c r="J26" s="61"/>
      <c r="K26" s="62">
        <f>J24/AVERAGE(H24,K24)</f>
        <v>1.1713226661299518E-3</v>
      </c>
      <c r="L26" s="61"/>
      <c r="M26" s="61"/>
      <c r="N26" s="62">
        <f>M24/AVERAGE(K24,N24)</f>
        <v>1.4433014594866633E-3</v>
      </c>
      <c r="O26" s="61"/>
      <c r="P26" s="61"/>
      <c r="Q26" s="62">
        <f>P24/AVERAGE(N24,Q24)</f>
        <v>9.0865129702339005E-4</v>
      </c>
      <c r="R26" s="61"/>
      <c r="S26" s="61"/>
      <c r="T26" s="62">
        <f>S24/AVERAGE(Q24,T24)</f>
        <v>3.8077342082629886E-3</v>
      </c>
      <c r="U26" s="51" t="s">
        <v>94</v>
      </c>
      <c r="V26" s="52"/>
      <c r="W26" s="53"/>
      <c r="X26" s="54">
        <f>-'Forecast 2020'!Z29</f>
        <v>-194800</v>
      </c>
      <c r="Y26" s="55"/>
      <c r="Z26" s="56"/>
      <c r="AB26" s="115">
        <f>AVERAGE(AC26,AF26,AI26,AL26,AO26)</f>
        <v>7.3558660195624766E-3</v>
      </c>
      <c r="AC26" s="115">
        <f>SUM(AC8:AC23)</f>
        <v>7.6699939625679203E-3</v>
      </c>
      <c r="AF26" s="115">
        <f>SUM(AF8:AF23)</f>
        <v>7.6687600644122379E-3</v>
      </c>
      <c r="AI26" s="115">
        <f>SUM(AI8:AI23)</f>
        <v>7.6675256694181595E-3</v>
      </c>
      <c r="AL26" s="115">
        <f>SUM(AL8:AL23)</f>
        <v>7.6662907772855424E-3</v>
      </c>
      <c r="AO26" s="115">
        <f>SUM(AO8:AO23)</f>
        <v>6.106759624128523E-3</v>
      </c>
    </row>
    <row r="27" spans="1:41" s="21" customFormat="1" ht="12.75" customHeight="1" x14ac:dyDescent="0.2">
      <c r="B27" s="58"/>
      <c r="C27" s="58"/>
      <c r="D27" s="59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6"/>
      <c r="T27" s="67"/>
      <c r="U27" s="63"/>
      <c r="V27" s="64"/>
      <c r="W27" s="65"/>
      <c r="X27" s="54"/>
      <c r="Y27" s="55"/>
      <c r="Z27" s="56"/>
    </row>
    <row r="28" spans="1:41" s="21" customFormat="1" ht="17.25" customHeight="1" x14ac:dyDescent="0.2">
      <c r="B28" s="58"/>
      <c r="C28" s="58"/>
      <c r="D28" s="59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8" t="s">
        <v>24</v>
      </c>
      <c r="V28" s="69"/>
      <c r="W28" s="70"/>
      <c r="X28" s="54">
        <f>X24+X26</f>
        <v>366572.5</v>
      </c>
      <c r="Y28" s="55"/>
      <c r="Z28" s="56">
        <f>X28</f>
        <v>366572.5</v>
      </c>
    </row>
    <row r="29" spans="1:41" ht="20.100000000000001" customHeight="1" x14ac:dyDescent="0.2">
      <c r="B29" s="71"/>
      <c r="C29" s="71"/>
      <c r="D29" s="71"/>
      <c r="E29" s="21"/>
      <c r="F29" s="21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 t="s">
        <v>86</v>
      </c>
      <c r="V29" s="75"/>
      <c r="W29" s="75"/>
      <c r="X29" s="76"/>
      <c r="Y29" s="77"/>
      <c r="Z29" s="78">
        <f>Z24+Z28</f>
        <v>562882.5</v>
      </c>
    </row>
    <row r="30" spans="1:41" ht="15.75" x14ac:dyDescent="0.2">
      <c r="A30" s="92" t="s">
        <v>96</v>
      </c>
      <c r="N30" s="108" t="s">
        <v>56</v>
      </c>
      <c r="O30" s="108" t="s">
        <v>55</v>
      </c>
      <c r="U30" s="79"/>
      <c r="V30" s="80"/>
      <c r="W30" s="81"/>
      <c r="X30" s="81"/>
      <c r="Y30" s="81"/>
      <c r="Z30" s="82"/>
    </row>
    <row r="31" spans="1:41" x14ac:dyDescent="0.2">
      <c r="G31" s="73"/>
      <c r="H31" s="73"/>
      <c r="U31" s="83" t="s">
        <v>85</v>
      </c>
      <c r="V31" s="84"/>
      <c r="W31" s="85"/>
      <c r="X31" s="85"/>
      <c r="Y31" s="85"/>
      <c r="Z31" s="86">
        <f>Z29/AVERAGE(H24,K24,N24,Q24,T24)</f>
        <v>7.3961303462321791E-3</v>
      </c>
    </row>
    <row r="32" spans="1:41" x14ac:dyDescent="0.2">
      <c r="A32" s="3" t="s">
        <v>43</v>
      </c>
      <c r="G32" s="73"/>
      <c r="H32" s="73"/>
      <c r="P32" s="117"/>
      <c r="U32" s="83"/>
      <c r="V32" s="84"/>
      <c r="W32" s="85"/>
      <c r="X32" s="85"/>
      <c r="Y32" s="85"/>
      <c r="Z32" s="86"/>
    </row>
    <row r="33" spans="1:30" ht="15.75" x14ac:dyDescent="0.2">
      <c r="A33" s="135"/>
      <c r="B33" s="139">
        <v>-2.5000000000000001E-3</v>
      </c>
      <c r="C33" s="140" t="s">
        <v>38</v>
      </c>
      <c r="D33" s="140" t="s">
        <v>39</v>
      </c>
      <c r="E33" s="140" t="s">
        <v>38</v>
      </c>
      <c r="F33" s="142">
        <v>44165</v>
      </c>
      <c r="G33" s="142" t="s">
        <v>91</v>
      </c>
      <c r="H33" s="22">
        <v>2000000</v>
      </c>
      <c r="I33" s="107"/>
      <c r="J33" s="107"/>
      <c r="K33" s="107"/>
      <c r="L33" s="107"/>
      <c r="M33" s="107"/>
      <c r="N33" s="107">
        <v>1</v>
      </c>
      <c r="O33" s="109">
        <v>2.0000000000000001E-4</v>
      </c>
      <c r="P33" s="117">
        <f>H33*N33*O33</f>
        <v>400</v>
      </c>
      <c r="R33" s="92" t="s">
        <v>90</v>
      </c>
      <c r="T33" s="87"/>
      <c r="V33" s="88"/>
      <c r="AB33" s="3" t="s">
        <v>100</v>
      </c>
      <c r="AC33" s="3" t="s">
        <v>103</v>
      </c>
      <c r="AD33" s="87">
        <f>X8+X9+Z8+Z9-'Forecast 2020'!Z10-'Forecast 2020'!Z14</f>
        <v>-10000</v>
      </c>
    </row>
    <row r="34" spans="1:30" x14ac:dyDescent="0.2">
      <c r="I34" s="107"/>
      <c r="J34" s="107"/>
      <c r="K34" s="107"/>
      <c r="L34" s="107"/>
      <c r="M34" s="107"/>
      <c r="P34" s="117"/>
      <c r="R34" s="95"/>
      <c r="S34" s="81"/>
      <c r="T34" s="81"/>
      <c r="U34" s="96"/>
      <c r="V34" s="97"/>
      <c r="Z34" s="3">
        <v>-2470</v>
      </c>
      <c r="AB34" s="3" t="s">
        <v>101</v>
      </c>
      <c r="AC34" s="3" t="s">
        <v>102</v>
      </c>
      <c r="AD34" s="87">
        <f>SUM(X10:X22)+SUM(Z10:Z22)+X26+'Forecast 2020'!Z10+'Forecast 2020'!Z14</f>
        <v>572882.5</v>
      </c>
    </row>
    <row r="35" spans="1:30" x14ac:dyDescent="0.2">
      <c r="A35" s="3" t="s">
        <v>97</v>
      </c>
      <c r="I35" s="107"/>
      <c r="J35" s="107"/>
      <c r="K35" s="107"/>
      <c r="L35" s="107"/>
      <c r="M35" s="107"/>
      <c r="N35" s="107"/>
      <c r="O35" s="107"/>
      <c r="P35" s="117"/>
      <c r="R35" s="6"/>
      <c r="S35" s="21" t="s">
        <v>59</v>
      </c>
      <c r="T35" s="102"/>
      <c r="U35" s="103">
        <f>H24</f>
        <v>74535000</v>
      </c>
      <c r="V35" s="98"/>
      <c r="Z35" s="87">
        <f>X26+Z34</f>
        <v>-197270</v>
      </c>
      <c r="AD35" s="87">
        <f>AD33+AD34</f>
        <v>562882.5</v>
      </c>
    </row>
    <row r="36" spans="1:30" x14ac:dyDescent="0.2">
      <c r="I36" s="107"/>
      <c r="J36" s="107"/>
      <c r="K36" s="107"/>
      <c r="L36" s="107"/>
      <c r="M36" s="107"/>
      <c r="N36" s="107"/>
      <c r="O36" s="110"/>
      <c r="P36" s="117"/>
      <c r="R36" s="6"/>
      <c r="S36" s="21"/>
      <c r="T36" s="102"/>
      <c r="U36" s="103"/>
      <c r="V36" s="98"/>
      <c r="AD36" s="87">
        <f>AD35-Z29</f>
        <v>0</v>
      </c>
    </row>
    <row r="37" spans="1:30" x14ac:dyDescent="0.2">
      <c r="A37" s="3" t="s">
        <v>44</v>
      </c>
      <c r="P37" s="117"/>
      <c r="R37" s="6"/>
      <c r="S37" s="102" t="s">
        <v>104</v>
      </c>
      <c r="T37" s="21"/>
      <c r="U37" s="103">
        <v>10698042.907500001</v>
      </c>
      <c r="V37" s="98"/>
      <c r="Z37" s="87">
        <f>SUM(Z10:Z23)+SUM(X10:X23)</f>
        <v>768292.5</v>
      </c>
    </row>
    <row r="38" spans="1:30" ht="13.5" thickBot="1" x14ac:dyDescent="0.25">
      <c r="A38" s="23"/>
      <c r="B38" s="139">
        <v>-2.5000000000000001E-3</v>
      </c>
      <c r="C38" s="140" t="s">
        <v>38</v>
      </c>
      <c r="D38" s="140" t="s">
        <v>39</v>
      </c>
      <c r="E38" s="140" t="s">
        <v>38</v>
      </c>
      <c r="F38" s="141" t="s">
        <v>92</v>
      </c>
      <c r="G38" s="142" t="s">
        <v>91</v>
      </c>
      <c r="H38" s="22">
        <v>2000000</v>
      </c>
      <c r="I38" s="107"/>
      <c r="J38" s="107"/>
      <c r="K38" s="107"/>
      <c r="L38" s="107"/>
      <c r="M38" s="107"/>
      <c r="N38" s="107">
        <v>1</v>
      </c>
      <c r="O38" s="109">
        <v>2.0000000000000001E-4</v>
      </c>
      <c r="P38" s="117">
        <f>H38*N38*O38</f>
        <v>400</v>
      </c>
      <c r="R38" s="6"/>
      <c r="S38" s="102"/>
      <c r="T38" s="21"/>
      <c r="U38" s="103"/>
      <c r="V38" s="98"/>
    </row>
    <row r="39" spans="1:30" ht="13.5" thickBot="1" x14ac:dyDescent="0.25">
      <c r="I39" s="107"/>
      <c r="J39" s="107"/>
      <c r="K39" s="107"/>
      <c r="L39" s="107"/>
      <c r="M39" s="107"/>
      <c r="N39" s="107"/>
      <c r="O39" s="110"/>
      <c r="P39" s="117"/>
      <c r="R39" s="6"/>
      <c r="S39" s="102" t="s">
        <v>57</v>
      </c>
      <c r="T39" s="21"/>
      <c r="U39" s="103">
        <v>2472000</v>
      </c>
      <c r="V39" s="98"/>
      <c r="Z39" s="127">
        <f>Z35+Z37</f>
        <v>571022.5</v>
      </c>
    </row>
    <row r="40" spans="1:30" x14ac:dyDescent="0.2">
      <c r="A40" s="3" t="s">
        <v>97</v>
      </c>
      <c r="I40" s="107"/>
      <c r="J40" s="107"/>
      <c r="K40" s="21"/>
      <c r="L40" s="21"/>
      <c r="M40" s="21"/>
      <c r="N40" s="21"/>
      <c r="O40" s="110"/>
      <c r="P40" s="117"/>
      <c r="R40" s="6"/>
      <c r="S40" s="102"/>
      <c r="T40" s="21"/>
      <c r="U40" s="103"/>
      <c r="V40" s="98"/>
    </row>
    <row r="41" spans="1:30" x14ac:dyDescent="0.2">
      <c r="I41" s="107"/>
      <c r="J41" s="107"/>
      <c r="K41" s="21"/>
      <c r="L41" s="21"/>
      <c r="M41" s="21"/>
      <c r="N41" s="21"/>
      <c r="O41" s="110"/>
      <c r="P41" s="117"/>
      <c r="R41" s="6"/>
      <c r="S41" s="102" t="s">
        <v>65</v>
      </c>
      <c r="T41" s="21"/>
      <c r="U41" s="103">
        <f>U35+U37-U39</f>
        <v>82761042.907499999</v>
      </c>
      <c r="V41" s="98"/>
    </row>
    <row r="42" spans="1:30" x14ac:dyDescent="0.2">
      <c r="A42" s="3" t="s">
        <v>46</v>
      </c>
      <c r="J42" s="107"/>
      <c r="K42" s="107"/>
      <c r="L42" s="107"/>
      <c r="M42" s="107"/>
      <c r="N42" s="107"/>
      <c r="O42" s="110"/>
      <c r="P42" s="117"/>
      <c r="R42" s="6"/>
      <c r="S42" s="102"/>
      <c r="T42" s="21"/>
      <c r="U42" s="21"/>
      <c r="V42" s="98"/>
    </row>
    <row r="43" spans="1:30" x14ac:dyDescent="0.2">
      <c r="A43" s="23">
        <v>9221.32</v>
      </c>
      <c r="B43" s="24">
        <v>1.6799999999999999E-2</v>
      </c>
      <c r="C43" s="25"/>
      <c r="D43" s="26" t="s">
        <v>0</v>
      </c>
      <c r="E43" s="11" t="s">
        <v>7</v>
      </c>
      <c r="F43" s="12">
        <v>40899</v>
      </c>
      <c r="G43" s="12">
        <v>44552</v>
      </c>
      <c r="H43" s="13">
        <v>4000000</v>
      </c>
      <c r="I43" s="107"/>
      <c r="J43" s="107"/>
      <c r="K43" s="107"/>
      <c r="L43" s="107"/>
      <c r="M43" s="107"/>
      <c r="O43" s="110"/>
      <c r="P43" s="117"/>
      <c r="R43" s="6"/>
      <c r="S43" s="102" t="s">
        <v>58</v>
      </c>
      <c r="T43" s="21"/>
      <c r="U43" s="103">
        <f>T24</f>
        <v>82475000</v>
      </c>
      <c r="V43" s="98"/>
    </row>
    <row r="44" spans="1:30" x14ac:dyDescent="0.2">
      <c r="I44" s="107"/>
      <c r="J44" s="21"/>
      <c r="K44" s="107"/>
      <c r="L44" s="107"/>
      <c r="M44" s="107"/>
      <c r="N44" s="107"/>
      <c r="O44" s="110"/>
      <c r="P44" s="117"/>
      <c r="R44" s="6"/>
      <c r="S44" s="102"/>
      <c r="T44" s="21"/>
      <c r="U44" s="21"/>
      <c r="V44" s="98"/>
    </row>
    <row r="45" spans="1:30" x14ac:dyDescent="0.2">
      <c r="A45" s="3" t="s">
        <v>98</v>
      </c>
      <c r="I45" s="107"/>
      <c r="J45" s="21"/>
      <c r="K45" s="107"/>
      <c r="L45" s="107"/>
      <c r="M45" s="107"/>
      <c r="N45" s="107"/>
      <c r="O45" s="110"/>
      <c r="P45" s="117"/>
      <c r="R45" s="6"/>
      <c r="S45" s="21" t="s">
        <v>61</v>
      </c>
      <c r="T45" s="21"/>
      <c r="U45" s="103">
        <f>U41-U43</f>
        <v>286042.90749999881</v>
      </c>
      <c r="V45" s="98" t="s">
        <v>110</v>
      </c>
      <c r="X45" s="3" t="s">
        <v>66</v>
      </c>
    </row>
    <row r="46" spans="1:30" x14ac:dyDescent="0.2">
      <c r="A46" s="143"/>
      <c r="B46" s="139">
        <v>5.0000000000000001E-3</v>
      </c>
      <c r="C46" s="144"/>
      <c r="D46" s="145" t="s">
        <v>3</v>
      </c>
      <c r="E46" s="146" t="s">
        <v>67</v>
      </c>
      <c r="F46" s="142">
        <v>44552</v>
      </c>
      <c r="G46" s="142">
        <v>48204</v>
      </c>
      <c r="H46" s="13">
        <v>4000000</v>
      </c>
      <c r="I46" s="107"/>
      <c r="J46" s="107"/>
      <c r="K46" s="107"/>
      <c r="L46" s="107"/>
      <c r="M46" s="107"/>
      <c r="N46" s="107">
        <v>10</v>
      </c>
      <c r="O46" s="109">
        <v>1E-4</v>
      </c>
      <c r="P46" s="117">
        <f>H46*N46*O46</f>
        <v>4000</v>
      </c>
      <c r="R46" s="99"/>
      <c r="S46" s="100"/>
      <c r="T46" s="100"/>
      <c r="U46" s="100"/>
      <c r="V46" s="101"/>
    </row>
    <row r="47" spans="1:30" x14ac:dyDescent="0.2">
      <c r="J47" s="107"/>
      <c r="K47" s="107"/>
      <c r="L47" s="107"/>
      <c r="M47" s="107"/>
      <c r="N47" s="107"/>
      <c r="O47" s="110"/>
      <c r="P47" s="117"/>
      <c r="U47" s="163"/>
      <c r="V47" s="3"/>
    </row>
    <row r="48" spans="1:30" x14ac:dyDescent="0.2">
      <c r="A48" s="107" t="s">
        <v>83</v>
      </c>
      <c r="B48" s="21"/>
      <c r="C48" s="21"/>
      <c r="D48" s="21"/>
      <c r="E48" s="21"/>
      <c r="F48" s="21"/>
      <c r="G48" s="21"/>
      <c r="H48" s="21"/>
      <c r="I48" s="107"/>
      <c r="K48" s="107"/>
      <c r="L48" s="107"/>
      <c r="M48" s="107"/>
      <c r="P48" s="148"/>
      <c r="U48" s="3"/>
    </row>
    <row r="49" spans="1:41" ht="13.5" thickBot="1" x14ac:dyDescent="0.25">
      <c r="A49" s="107" t="s">
        <v>50</v>
      </c>
      <c r="B49" s="107"/>
      <c r="C49" s="107"/>
      <c r="D49" s="107"/>
      <c r="E49" s="107"/>
      <c r="F49" s="107"/>
      <c r="G49" s="107"/>
      <c r="H49" s="107"/>
      <c r="I49" s="107"/>
      <c r="K49" s="107"/>
      <c r="L49" s="107"/>
      <c r="M49" s="107"/>
      <c r="P49" s="148"/>
      <c r="U49" s="3"/>
    </row>
    <row r="50" spans="1:41" x14ac:dyDescent="0.2">
      <c r="A50" s="107"/>
      <c r="B50" s="59"/>
      <c r="C50" s="112"/>
      <c r="D50" s="111"/>
      <c r="E50" s="106"/>
      <c r="F50" s="60"/>
      <c r="G50" s="60"/>
      <c r="H50" s="61"/>
      <c r="I50" s="107"/>
      <c r="R50" s="176" t="s">
        <v>107</v>
      </c>
      <c r="S50" s="166"/>
      <c r="T50" s="167">
        <v>15000000</v>
      </c>
      <c r="U50" s="168"/>
      <c r="V50" s="169"/>
    </row>
    <row r="51" spans="1:41" x14ac:dyDescent="0.2">
      <c r="A51" s="143" t="s">
        <v>81</v>
      </c>
      <c r="B51" s="139">
        <v>5.0000000000000001E-3</v>
      </c>
      <c r="C51" s="147"/>
      <c r="D51" s="145" t="s">
        <v>48</v>
      </c>
      <c r="E51" s="146" t="s">
        <v>67</v>
      </c>
      <c r="F51" s="142">
        <v>44470</v>
      </c>
      <c r="G51" s="142">
        <v>48122</v>
      </c>
      <c r="H51" s="22">
        <v>8000000</v>
      </c>
      <c r="I51" s="107"/>
      <c r="N51" s="107">
        <v>10</v>
      </c>
      <c r="O51" s="109">
        <v>1E-4</v>
      </c>
      <c r="P51" s="117">
        <f>H51*N51*O51</f>
        <v>8000</v>
      </c>
      <c r="R51" s="170"/>
      <c r="S51" s="107"/>
      <c r="T51" s="107"/>
      <c r="U51" s="107"/>
      <c r="V51" s="171"/>
    </row>
    <row r="52" spans="1:41" x14ac:dyDescent="0.2">
      <c r="A52" s="107"/>
      <c r="B52" s="59"/>
      <c r="C52" s="112"/>
      <c r="D52" s="111"/>
      <c r="E52" s="106"/>
      <c r="F52" s="60"/>
      <c r="G52" s="60"/>
      <c r="H52" s="61"/>
      <c r="I52" s="107"/>
      <c r="P52" s="117"/>
      <c r="R52" s="170"/>
      <c r="S52" s="107"/>
      <c r="T52" s="162">
        <v>5.0000000000000001E-3</v>
      </c>
      <c r="U52" s="107"/>
      <c r="V52" s="171"/>
    </row>
    <row r="53" spans="1:41" x14ac:dyDescent="0.2">
      <c r="A53" s="4"/>
      <c r="B53" s="4"/>
      <c r="C53" s="4"/>
      <c r="D53" s="4"/>
      <c r="E53" s="4"/>
      <c r="F53" s="4"/>
      <c r="G53" s="4"/>
      <c r="H53" s="4"/>
      <c r="I53" s="107"/>
      <c r="R53" s="170"/>
      <c r="S53" s="107"/>
      <c r="T53" s="107"/>
      <c r="U53" s="107"/>
      <c r="V53" s="171"/>
    </row>
    <row r="54" spans="1:41" x14ac:dyDescent="0.2">
      <c r="A54" s="4"/>
      <c r="B54" s="4"/>
      <c r="C54" s="4"/>
      <c r="D54" s="4"/>
      <c r="E54" s="4"/>
      <c r="F54" s="4"/>
      <c r="G54" s="4"/>
      <c r="H54" s="4"/>
      <c r="I54" s="107"/>
      <c r="P54" s="149">
        <f>SUM(P32:P52)</f>
        <v>12800</v>
      </c>
      <c r="R54" s="170"/>
      <c r="S54" s="107"/>
      <c r="T54" s="161">
        <f>T50*T52</f>
        <v>75000</v>
      </c>
      <c r="U54" s="107"/>
      <c r="V54" s="171"/>
    </row>
    <row r="55" spans="1:41" x14ac:dyDescent="0.2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R55" s="170"/>
      <c r="S55" s="107"/>
      <c r="T55" s="107"/>
      <c r="U55" s="107"/>
      <c r="V55" s="171"/>
    </row>
    <row r="56" spans="1:41" x14ac:dyDescent="0.2">
      <c r="A56" s="107"/>
      <c r="B56" s="107"/>
      <c r="C56" s="107"/>
      <c r="D56" s="107"/>
      <c r="E56" s="107"/>
      <c r="F56" s="107"/>
      <c r="G56" s="107"/>
      <c r="H56" s="107"/>
      <c r="I56" s="107"/>
      <c r="J56" s="21"/>
      <c r="K56" s="107"/>
      <c r="L56" s="107"/>
      <c r="M56" s="107"/>
      <c r="R56" s="170"/>
      <c r="S56" s="107"/>
      <c r="T56" s="161">
        <f>T54*U59</f>
        <v>56202.10727969349</v>
      </c>
      <c r="U56" s="107"/>
      <c r="V56" s="171"/>
    </row>
    <row r="57" spans="1:41" x14ac:dyDescent="0.2">
      <c r="A57" s="107"/>
      <c r="B57" s="107"/>
      <c r="C57" s="107"/>
      <c r="D57" s="107"/>
      <c r="E57" s="107"/>
      <c r="F57" s="107"/>
      <c r="G57" s="107"/>
      <c r="H57" s="107"/>
      <c r="I57" s="103"/>
      <c r="J57" s="21"/>
      <c r="K57" s="107"/>
      <c r="L57" s="107"/>
      <c r="M57" s="107"/>
      <c r="R57" s="170"/>
      <c r="S57" s="107"/>
      <c r="T57" s="107"/>
      <c r="U57" s="107"/>
      <c r="V57" s="171"/>
    </row>
    <row r="58" spans="1:41" s="4" customFormat="1" x14ac:dyDescent="0.2">
      <c r="A58" s="107"/>
      <c r="B58" s="107"/>
      <c r="C58" s="107"/>
      <c r="D58" s="107"/>
      <c r="E58" s="107"/>
      <c r="F58" s="107"/>
      <c r="G58" s="107"/>
      <c r="H58" s="107"/>
      <c r="I58" s="107"/>
      <c r="J58" s="21"/>
      <c r="K58" s="107"/>
      <c r="L58" s="107"/>
      <c r="M58" s="107"/>
      <c r="N58" s="3"/>
      <c r="O58" s="3"/>
      <c r="P58" s="3"/>
      <c r="Q58" s="3"/>
      <c r="R58" s="170" t="s">
        <v>109</v>
      </c>
      <c r="S58" s="107"/>
      <c r="T58" s="161">
        <v>785</v>
      </c>
      <c r="U58" s="162">
        <f>T58/T60</f>
        <v>0.25063856960408687</v>
      </c>
      <c r="V58" s="171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spans="1:41" s="4" customFormat="1" x14ac:dyDescent="0.2">
      <c r="N59" s="3"/>
      <c r="O59" s="3"/>
      <c r="P59" s="3"/>
      <c r="Q59" s="3"/>
      <c r="R59" s="170" t="s">
        <v>108</v>
      </c>
      <c r="S59" s="107"/>
      <c r="T59" s="161">
        <v>2347</v>
      </c>
      <c r="U59" s="162">
        <f>T59/T60</f>
        <v>0.74936143039591319</v>
      </c>
      <c r="V59" s="171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spans="1:41" s="4" customFormat="1" ht="13.5" thickBot="1" x14ac:dyDescent="0.25">
      <c r="N60" s="3"/>
      <c r="O60" s="3"/>
      <c r="P60" s="3"/>
      <c r="Q60" s="3"/>
      <c r="R60" s="172"/>
      <c r="S60" s="173"/>
      <c r="T60" s="174">
        <f>T58+T59</f>
        <v>3132</v>
      </c>
      <c r="U60" s="173"/>
      <c r="V60" s="175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spans="1:41" s="4" customFormat="1" x14ac:dyDescent="0.2">
      <c r="N61" s="3"/>
      <c r="O61" s="3"/>
      <c r="P61" s="3"/>
      <c r="Q61" s="3"/>
      <c r="R61" s="3"/>
      <c r="S61" s="3"/>
      <c r="T61" s="161"/>
      <c r="U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spans="1:41" s="4" customFormat="1" x14ac:dyDescent="0.2">
      <c r="R62" s="3"/>
      <c r="S62" s="3"/>
      <c r="T62" s="3"/>
      <c r="U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1:41" s="4" customFormat="1" x14ac:dyDescent="0.2">
      <c r="R63" s="3"/>
      <c r="S63" s="3"/>
      <c r="T63" s="3"/>
      <c r="U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spans="1:41" s="4" customFormat="1" x14ac:dyDescent="0.2">
      <c r="R64" s="3"/>
      <c r="S64" s="3"/>
      <c r="T64" s="3"/>
      <c r="U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spans="1:41" s="4" customFormat="1" x14ac:dyDescent="0.2">
      <c r="R65" s="3"/>
      <c r="S65" s="3"/>
      <c r="T65" s="3"/>
      <c r="U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spans="1:41" s="4" customFormat="1" x14ac:dyDescent="0.2">
      <c r="R66" s="3"/>
      <c r="S66" s="3"/>
      <c r="T66" s="3"/>
      <c r="U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spans="1:41" s="4" customFormat="1" x14ac:dyDescent="0.2">
      <c r="I67" s="10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spans="1:41" s="4" customFormat="1" x14ac:dyDescent="0.2">
      <c r="I68" s="10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1:41" s="4" customFormat="1" x14ac:dyDescent="0.2">
      <c r="I69" s="10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spans="1:41" s="4" customFormat="1" x14ac:dyDescent="0.2">
      <c r="I70" s="10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spans="1:41" s="4" customFormat="1" x14ac:dyDescent="0.2"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1:41" s="4" customFormat="1" x14ac:dyDescent="0.2">
      <c r="A72" s="107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s="4" customFormat="1" x14ac:dyDescent="0.2">
      <c r="A73" s="10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x14ac:dyDescent="0.2">
      <c r="A74" s="107"/>
    </row>
    <row r="75" spans="1:41" x14ac:dyDescent="0.2">
      <c r="A75" s="107"/>
    </row>
  </sheetData>
  <autoFilter ref="A6:Z24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4" showButton="0"/>
    <sortState xmlns:xlrd2="http://schemas.microsoft.com/office/spreadsheetml/2017/richdata2" ref="A9:Z29">
      <sortCondition ref="G5:G26"/>
    </sortState>
  </autoFilter>
  <mergeCells count="15">
    <mergeCell ref="E25:H25"/>
    <mergeCell ref="A3:Z3"/>
    <mergeCell ref="A4:Z4"/>
    <mergeCell ref="A6:A7"/>
    <mergeCell ref="B6:B7"/>
    <mergeCell ref="D6:D7"/>
    <mergeCell ref="E6:E7"/>
    <mergeCell ref="F6:F7"/>
    <mergeCell ref="G6:G7"/>
    <mergeCell ref="H6:T6"/>
    <mergeCell ref="U6:U7"/>
    <mergeCell ref="V6:V7"/>
    <mergeCell ref="W6:W7"/>
    <mergeCell ref="X6:X7"/>
    <mergeCell ref="Y6:Z6"/>
  </mergeCells>
  <pageMargins left="0.19685039370078741" right="0.19685039370078741" top="0" bottom="0.35433070866141736" header="0" footer="0.11811023622047245"/>
  <pageSetup paperSize="8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3746-08C4-4867-884C-D3DD8BA19A9F}">
  <sheetPr>
    <pageSetUpPr fitToPage="1"/>
  </sheetPr>
  <dimension ref="A1:AO81"/>
  <sheetViews>
    <sheetView workbookViewId="0">
      <pane xSplit="1" topLeftCell="E1" activePane="topRight" state="frozen"/>
      <selection pane="topRight" activeCell="Z31" sqref="Z31"/>
    </sheetView>
  </sheetViews>
  <sheetFormatPr baseColWidth="10" defaultRowHeight="12.75" x14ac:dyDescent="0.2"/>
  <cols>
    <col min="1" max="1" width="7.5703125" style="3" customWidth="1"/>
    <col min="2" max="2" width="8.28515625" style="3" customWidth="1"/>
    <col min="3" max="3" width="3.85546875" style="3" hidden="1" customWidth="1"/>
    <col min="4" max="4" width="22.5703125" style="3" customWidth="1"/>
    <col min="5" max="5" width="17.42578125" style="3" customWidth="1"/>
    <col min="6" max="7" width="8.7109375" style="3" customWidth="1"/>
    <col min="8" max="8" width="10.5703125" style="3" customWidth="1"/>
    <col min="9" max="9" width="10.42578125" style="3" customWidth="1"/>
    <col min="10" max="11" width="11.7109375" style="3" customWidth="1"/>
    <col min="12" max="12" width="10.42578125" style="3" customWidth="1"/>
    <col min="13" max="14" width="11.7109375" style="3" customWidth="1"/>
    <col min="15" max="15" width="10.42578125" style="3" customWidth="1"/>
    <col min="16" max="17" width="11.7109375" style="3" customWidth="1"/>
    <col min="18" max="18" width="10.42578125" style="3" customWidth="1"/>
    <col min="19" max="19" width="11.7109375" style="3" customWidth="1"/>
    <col min="20" max="20" width="11" style="3" customWidth="1"/>
    <col min="21" max="21" width="9.7109375" style="4" customWidth="1"/>
    <col min="22" max="22" width="8.85546875" style="4" customWidth="1"/>
    <col min="23" max="23" width="6.140625" style="3" customWidth="1"/>
    <col min="24" max="24" width="10" style="3" customWidth="1"/>
    <col min="25" max="25" width="6.5703125" style="3" customWidth="1"/>
    <col min="26" max="26" width="10.140625" style="3" customWidth="1"/>
    <col min="27" max="27" width="11.42578125" style="3" customWidth="1"/>
    <col min="28" max="16384" width="11.42578125" style="3"/>
  </cols>
  <sheetData>
    <row r="1" spans="1:41" s="1" customFormat="1" ht="30" customHeight="1" x14ac:dyDescent="0.2">
      <c r="P1" s="136"/>
    </row>
    <row r="2" spans="1:41" s="1" customFormat="1" x14ac:dyDescent="0.2">
      <c r="A2" s="2" t="s">
        <v>36</v>
      </c>
    </row>
    <row r="3" spans="1:41" ht="21" x14ac:dyDescent="0.2">
      <c r="A3" s="237" t="s">
        <v>93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C3" s="21"/>
      <c r="AD3" s="21"/>
      <c r="AE3" s="21"/>
      <c r="AF3" s="21"/>
      <c r="AG3" s="21"/>
      <c r="AH3" s="21"/>
      <c r="AI3" s="21"/>
      <c r="AJ3" s="21"/>
      <c r="AK3" s="21"/>
    </row>
    <row r="4" spans="1:41" ht="15.75" customHeight="1" x14ac:dyDescent="0.2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C4" s="21"/>
      <c r="AD4" s="21"/>
      <c r="AE4" s="21"/>
      <c r="AF4" s="21"/>
      <c r="AG4" s="21"/>
      <c r="AH4" s="21"/>
      <c r="AI4" s="21"/>
      <c r="AJ4" s="21"/>
      <c r="AK4" s="21"/>
    </row>
    <row r="5" spans="1:41" ht="8.25" customHeight="1" x14ac:dyDescent="0.2">
      <c r="AC5" s="21"/>
      <c r="AD5" s="21"/>
      <c r="AE5" s="21"/>
      <c r="AF5" s="21"/>
      <c r="AG5" s="21"/>
      <c r="AH5" s="21"/>
      <c r="AI5" s="21"/>
      <c r="AJ5" s="21"/>
      <c r="AK5" s="21"/>
    </row>
    <row r="6" spans="1:41" ht="15" customHeight="1" x14ac:dyDescent="0.2">
      <c r="A6" s="239" t="s">
        <v>8</v>
      </c>
      <c r="B6" s="241" t="s">
        <v>4</v>
      </c>
      <c r="C6" s="122"/>
      <c r="D6" s="253" t="s">
        <v>5</v>
      </c>
      <c r="E6" s="253" t="s">
        <v>6</v>
      </c>
      <c r="F6" s="255" t="s">
        <v>34</v>
      </c>
      <c r="G6" s="257" t="s">
        <v>35</v>
      </c>
      <c r="H6" s="249" t="s">
        <v>25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9" t="s">
        <v>15</v>
      </c>
      <c r="V6" s="259" t="s">
        <v>16</v>
      </c>
      <c r="W6" s="262" t="s">
        <v>14</v>
      </c>
      <c r="X6" s="231" t="s">
        <v>23</v>
      </c>
      <c r="Y6" s="264" t="s">
        <v>10</v>
      </c>
      <c r="Z6" s="265"/>
      <c r="AA6" s="6"/>
      <c r="AC6" s="21"/>
      <c r="AD6" s="21"/>
      <c r="AE6" s="21"/>
      <c r="AF6" s="21"/>
      <c r="AG6" s="21"/>
      <c r="AH6" s="21"/>
      <c r="AI6" s="21"/>
      <c r="AJ6" s="21"/>
      <c r="AK6" s="21"/>
    </row>
    <row r="7" spans="1:41" ht="15" customHeight="1" x14ac:dyDescent="0.2">
      <c r="A7" s="240"/>
      <c r="B7" s="242"/>
      <c r="C7" s="123" t="s">
        <v>32</v>
      </c>
      <c r="D7" s="254"/>
      <c r="E7" s="254"/>
      <c r="F7" s="256"/>
      <c r="G7" s="258"/>
      <c r="H7" s="8">
        <v>44197</v>
      </c>
      <c r="I7" s="8" t="s">
        <v>18</v>
      </c>
      <c r="J7" s="8" t="s">
        <v>22</v>
      </c>
      <c r="K7" s="8">
        <v>43921</v>
      </c>
      <c r="L7" s="8" t="s">
        <v>19</v>
      </c>
      <c r="M7" s="8" t="s">
        <v>27</v>
      </c>
      <c r="N7" s="8">
        <v>44012</v>
      </c>
      <c r="O7" s="8" t="s">
        <v>20</v>
      </c>
      <c r="P7" s="8" t="s">
        <v>26</v>
      </c>
      <c r="Q7" s="8">
        <v>44104</v>
      </c>
      <c r="R7" s="8" t="s">
        <v>21</v>
      </c>
      <c r="S7" s="8" t="s">
        <v>28</v>
      </c>
      <c r="T7" s="126">
        <v>44561</v>
      </c>
      <c r="U7" s="260"/>
      <c r="V7" s="261"/>
      <c r="W7" s="263"/>
      <c r="X7" s="232"/>
      <c r="Y7" s="9" t="s">
        <v>9</v>
      </c>
      <c r="Z7" s="9" t="s">
        <v>17</v>
      </c>
      <c r="AC7" s="21"/>
      <c r="AD7" s="21"/>
      <c r="AE7" s="21"/>
      <c r="AF7" s="21"/>
      <c r="AG7" s="21"/>
      <c r="AH7" s="21"/>
      <c r="AI7" s="21"/>
      <c r="AJ7" s="21"/>
      <c r="AK7" s="21"/>
    </row>
    <row r="8" spans="1:41" x14ac:dyDescent="0.2">
      <c r="A8" s="128">
        <v>9210.42</v>
      </c>
      <c r="B8" s="129">
        <v>-3.3999999999999998E-3</v>
      </c>
      <c r="C8" s="130" t="s">
        <v>38</v>
      </c>
      <c r="D8" s="130" t="s">
        <v>39</v>
      </c>
      <c r="E8" s="130" t="s">
        <v>38</v>
      </c>
      <c r="F8" s="131">
        <v>43797</v>
      </c>
      <c r="G8" s="131">
        <v>43979</v>
      </c>
      <c r="H8" s="22">
        <v>4000000</v>
      </c>
      <c r="I8" s="132"/>
      <c r="J8" s="133"/>
      <c r="K8" s="22">
        <v>4000000</v>
      </c>
      <c r="L8" s="132">
        <v>182</v>
      </c>
      <c r="M8" s="15">
        <f>K8*$B8/360*L8</f>
        <v>-6875.5555555555557</v>
      </c>
      <c r="N8" s="13"/>
      <c r="O8" s="132"/>
      <c r="P8" s="32"/>
      <c r="Q8" s="13"/>
      <c r="R8" s="132"/>
      <c r="S8" s="133"/>
      <c r="T8" s="22"/>
      <c r="U8" s="16"/>
      <c r="V8" s="16"/>
      <c r="W8" s="17" t="s">
        <v>87</v>
      </c>
      <c r="X8" s="18">
        <f>MROUND((J8+M8+P8+S8),-0.05)</f>
        <v>-6875.55</v>
      </c>
      <c r="Y8" s="19">
        <v>33</v>
      </c>
      <c r="Z8" s="20">
        <f t="shared" ref="Z8:Z14" si="0">MROUND(T8*B8/360*Y8,-10)</f>
        <v>0</v>
      </c>
      <c r="AF8" s="134">
        <f>$B8*K8/K$23</f>
        <v>-2.7200000000000002E-3</v>
      </c>
      <c r="AI8" s="134">
        <f>$B8*N8/N$23</f>
        <v>0</v>
      </c>
      <c r="AL8" s="134">
        <f>$B8*Q8/Q$23</f>
        <v>0</v>
      </c>
      <c r="AO8" s="134">
        <f>$B8*T8/T$23</f>
        <v>0</v>
      </c>
    </row>
    <row r="9" spans="1:41" x14ac:dyDescent="0.2">
      <c r="A9" s="135">
        <v>9210.4599999999991</v>
      </c>
      <c r="B9" s="24">
        <v>-1.5E-3</v>
      </c>
      <c r="C9" s="130" t="s">
        <v>38</v>
      </c>
      <c r="D9" s="130" t="s">
        <v>39</v>
      </c>
      <c r="E9" s="130" t="s">
        <v>38</v>
      </c>
      <c r="F9" s="131">
        <v>43979</v>
      </c>
      <c r="G9" s="12">
        <v>44165</v>
      </c>
      <c r="H9" s="13"/>
      <c r="I9" s="132"/>
      <c r="J9" s="15"/>
      <c r="K9" s="13"/>
      <c r="L9" s="132"/>
      <c r="M9" s="15"/>
      <c r="N9" s="13">
        <v>6000000</v>
      </c>
      <c r="O9" s="132"/>
      <c r="P9" s="32"/>
      <c r="Q9" s="13">
        <v>6000000</v>
      </c>
      <c r="R9" s="132">
        <v>186</v>
      </c>
      <c r="S9" s="15">
        <f>Q9*$B9/360*R9</f>
        <v>-4650</v>
      </c>
      <c r="T9" s="22"/>
      <c r="U9" s="16"/>
      <c r="V9" s="16"/>
      <c r="W9" s="17" t="s">
        <v>11</v>
      </c>
      <c r="X9" s="18">
        <f t="shared" ref="X9:X14" si="1">MROUND(J9+M9+P9+S9,-0.05)</f>
        <v>-4650</v>
      </c>
      <c r="Y9" s="19">
        <v>9</v>
      </c>
      <c r="Z9" s="20">
        <f t="shared" si="0"/>
        <v>0</v>
      </c>
      <c r="AF9" s="134">
        <f>$B9*K9/K$23</f>
        <v>0</v>
      </c>
      <c r="AI9" s="134">
        <f>$B9*N9/N$23</f>
        <v>-1.8E-3</v>
      </c>
      <c r="AL9" s="134">
        <f>$B9*Q9/Q$23</f>
        <v>-1.8E-3</v>
      </c>
      <c r="AO9" s="134">
        <f>$B9*T9/T$23</f>
        <v>0</v>
      </c>
    </row>
    <row r="10" spans="1:41" x14ac:dyDescent="0.2">
      <c r="A10" s="135"/>
      <c r="B10" s="139">
        <v>-2.5000000000000001E-3</v>
      </c>
      <c r="C10" s="140" t="s">
        <v>38</v>
      </c>
      <c r="D10" s="140" t="s">
        <v>39</v>
      </c>
      <c r="E10" s="140" t="s">
        <v>38</v>
      </c>
      <c r="F10" s="142">
        <v>44165</v>
      </c>
      <c r="G10" s="142" t="s">
        <v>91</v>
      </c>
      <c r="H10" s="13"/>
      <c r="I10" s="132"/>
      <c r="J10" s="15"/>
      <c r="K10" s="13"/>
      <c r="L10" s="132"/>
      <c r="M10" s="15"/>
      <c r="N10" s="13"/>
      <c r="O10" s="132"/>
      <c r="P10" s="32"/>
      <c r="Q10" s="13"/>
      <c r="R10" s="132"/>
      <c r="S10" s="15"/>
      <c r="T10" s="22">
        <v>2000000</v>
      </c>
      <c r="U10" s="16"/>
      <c r="V10" s="16"/>
      <c r="W10" s="17" t="s">
        <v>11</v>
      </c>
      <c r="X10" s="18">
        <f t="shared" si="1"/>
        <v>0</v>
      </c>
      <c r="Y10" s="19">
        <v>31</v>
      </c>
      <c r="Z10" s="20">
        <f t="shared" si="0"/>
        <v>-430</v>
      </c>
      <c r="AF10" s="134"/>
      <c r="AI10" s="134"/>
      <c r="AL10" s="134"/>
      <c r="AO10" s="134"/>
    </row>
    <row r="11" spans="1:41" x14ac:dyDescent="0.2">
      <c r="A11" s="135">
        <v>9210.44</v>
      </c>
      <c r="B11" s="129">
        <v>-3.5999999999999999E-3</v>
      </c>
      <c r="C11" s="130" t="s">
        <v>38</v>
      </c>
      <c r="D11" s="130" t="s">
        <v>39</v>
      </c>
      <c r="E11" s="130" t="s">
        <v>38</v>
      </c>
      <c r="F11" s="131">
        <v>43822</v>
      </c>
      <c r="G11" s="131">
        <v>43913</v>
      </c>
      <c r="H11" s="22">
        <v>1000000</v>
      </c>
      <c r="I11" s="14">
        <v>91</v>
      </c>
      <c r="J11" s="15">
        <f>MROUND(H11*$B11/360*I11,-0.05)</f>
        <v>-910</v>
      </c>
      <c r="K11" s="13"/>
      <c r="L11" s="132"/>
      <c r="M11" s="15"/>
      <c r="N11" s="13"/>
      <c r="O11" s="132"/>
      <c r="P11" s="32"/>
      <c r="Q11" s="13"/>
      <c r="R11" s="132"/>
      <c r="S11" s="133"/>
      <c r="T11" s="22"/>
      <c r="U11" s="16"/>
      <c r="V11" s="16"/>
      <c r="W11" s="17" t="s">
        <v>11</v>
      </c>
      <c r="X11" s="18">
        <f t="shared" si="1"/>
        <v>-910</v>
      </c>
      <c r="Y11" s="19">
        <v>9</v>
      </c>
      <c r="Z11" s="20">
        <f t="shared" si="0"/>
        <v>0</v>
      </c>
      <c r="AF11" s="134">
        <f>$B11*K11/K$23</f>
        <v>0</v>
      </c>
      <c r="AI11" s="134">
        <f>$B11*N11/N$23</f>
        <v>0</v>
      </c>
      <c r="AL11" s="134">
        <f>$B11*Q11/Q$23</f>
        <v>0</v>
      </c>
      <c r="AO11" s="134">
        <f>$B11*T11/T$23</f>
        <v>0</v>
      </c>
    </row>
    <row r="12" spans="1:41" x14ac:dyDescent="0.2">
      <c r="A12" s="23">
        <v>9210.4500000000007</v>
      </c>
      <c r="B12" s="129">
        <v>-3.7000000000000002E-3</v>
      </c>
      <c r="C12" s="130" t="s">
        <v>38</v>
      </c>
      <c r="D12" s="130" t="s">
        <v>39</v>
      </c>
      <c r="E12" s="130" t="s">
        <v>38</v>
      </c>
      <c r="F12" s="131">
        <v>43913</v>
      </c>
      <c r="G12" s="131">
        <v>44097</v>
      </c>
      <c r="H12" s="13"/>
      <c r="I12" s="132"/>
      <c r="J12" s="15"/>
      <c r="K12" s="13">
        <v>3000000</v>
      </c>
      <c r="L12" s="132"/>
      <c r="M12" s="15"/>
      <c r="N12" s="13">
        <v>3000000</v>
      </c>
      <c r="O12" s="14">
        <v>184</v>
      </c>
      <c r="P12" s="15">
        <f>MROUND(N12*$B12/360*O12,-0.05)</f>
        <v>-5673.35</v>
      </c>
      <c r="Q12" s="13"/>
      <c r="R12" s="132"/>
      <c r="S12" s="133"/>
      <c r="T12" s="22"/>
      <c r="U12" s="16"/>
      <c r="V12" s="16"/>
      <c r="W12" s="17" t="s">
        <v>11</v>
      </c>
      <c r="X12" s="18">
        <f t="shared" si="1"/>
        <v>-5673.35</v>
      </c>
      <c r="Y12" s="19">
        <v>9</v>
      </c>
      <c r="Z12" s="20">
        <f t="shared" si="0"/>
        <v>0</v>
      </c>
      <c r="AF12" s="134">
        <f>$B12*K12/K$23</f>
        <v>-2.2200000000000002E-3</v>
      </c>
      <c r="AI12" s="134">
        <f>$B12*N12/N$23</f>
        <v>-2.2200000000000002E-3</v>
      </c>
      <c r="AL12" s="134">
        <f>$B12*Q12/Q$23</f>
        <v>0</v>
      </c>
      <c r="AO12" s="134">
        <f>$B12*T12/T$23</f>
        <v>0</v>
      </c>
    </row>
    <row r="13" spans="1:41" x14ac:dyDescent="0.2">
      <c r="A13" s="23"/>
      <c r="B13" s="139">
        <v>-2.8E-3</v>
      </c>
      <c r="C13" s="140" t="s">
        <v>38</v>
      </c>
      <c r="D13" s="140" t="s">
        <v>39</v>
      </c>
      <c r="E13" s="140" t="s">
        <v>38</v>
      </c>
      <c r="F13" s="141">
        <v>44097</v>
      </c>
      <c r="G13" s="141" t="s">
        <v>92</v>
      </c>
      <c r="H13" s="13"/>
      <c r="I13" s="132"/>
      <c r="J13" s="15"/>
      <c r="K13" s="13"/>
      <c r="L13" s="132"/>
      <c r="M13" s="15"/>
      <c r="N13" s="13"/>
      <c r="O13" s="14"/>
      <c r="P13" s="15"/>
      <c r="Q13" s="13">
        <v>3000000</v>
      </c>
      <c r="R13" s="132">
        <v>86</v>
      </c>
      <c r="S13" s="15">
        <f>Q13*$B13/360*R13</f>
        <v>-2006.6666666666665</v>
      </c>
      <c r="T13" s="22"/>
      <c r="U13" s="16"/>
      <c r="V13" s="16"/>
      <c r="W13" s="17" t="s">
        <v>11</v>
      </c>
      <c r="X13" s="18">
        <f t="shared" si="1"/>
        <v>-2006.65</v>
      </c>
      <c r="Y13" s="19">
        <v>0</v>
      </c>
      <c r="Z13" s="20">
        <f t="shared" si="0"/>
        <v>0</v>
      </c>
      <c r="AF13" s="134"/>
      <c r="AI13" s="134"/>
      <c r="AL13" s="134"/>
      <c r="AO13" s="134"/>
    </row>
    <row r="14" spans="1:41" x14ac:dyDescent="0.2">
      <c r="A14" s="23"/>
      <c r="B14" s="139">
        <v>-2.5000000000000001E-3</v>
      </c>
      <c r="C14" s="140" t="s">
        <v>38</v>
      </c>
      <c r="D14" s="140" t="s">
        <v>39</v>
      </c>
      <c r="E14" s="140" t="s">
        <v>38</v>
      </c>
      <c r="F14" s="141" t="s">
        <v>92</v>
      </c>
      <c r="G14" s="142" t="s">
        <v>91</v>
      </c>
      <c r="H14" s="13"/>
      <c r="I14" s="132"/>
      <c r="J14" s="15"/>
      <c r="K14" s="13"/>
      <c r="L14" s="132"/>
      <c r="M14" s="15"/>
      <c r="N14" s="13"/>
      <c r="O14" s="14"/>
      <c r="P14" s="15"/>
      <c r="Q14" s="13"/>
      <c r="R14" s="132"/>
      <c r="S14" s="133"/>
      <c r="T14" s="22">
        <v>2000000</v>
      </c>
      <c r="U14" s="16"/>
      <c r="V14" s="16"/>
      <c r="W14" s="17" t="s">
        <v>11</v>
      </c>
      <c r="X14" s="18">
        <f t="shared" si="1"/>
        <v>0</v>
      </c>
      <c r="Y14" s="19">
        <v>13</v>
      </c>
      <c r="Z14" s="20">
        <f t="shared" si="0"/>
        <v>-180</v>
      </c>
      <c r="AF14" s="134"/>
      <c r="AI14" s="134"/>
      <c r="AL14" s="134"/>
      <c r="AO14" s="134"/>
    </row>
    <row r="15" spans="1:41" s="21" customFormat="1" ht="15.95" customHeight="1" x14ac:dyDescent="0.2">
      <c r="A15" s="23">
        <v>9210.41</v>
      </c>
      <c r="B15" s="24">
        <v>2.3E-2</v>
      </c>
      <c r="C15" s="25" t="s">
        <v>31</v>
      </c>
      <c r="D15" s="26" t="s">
        <v>3</v>
      </c>
      <c r="E15" s="11" t="s">
        <v>1</v>
      </c>
      <c r="F15" s="12">
        <v>40632</v>
      </c>
      <c r="G15" s="12">
        <v>43920</v>
      </c>
      <c r="H15" s="13">
        <v>3000000</v>
      </c>
      <c r="I15" s="14">
        <f>31+28+31</f>
        <v>90</v>
      </c>
      <c r="J15" s="15">
        <f>MROUND(H15*$B15/360*I15,0.05)</f>
        <v>17250</v>
      </c>
      <c r="K15" s="22">
        <f>H15-$U15</f>
        <v>3000000</v>
      </c>
      <c r="L15" s="14"/>
      <c r="M15" s="15"/>
      <c r="N15" s="22"/>
      <c r="O15" s="14"/>
      <c r="P15" s="15"/>
      <c r="Q15" s="22"/>
      <c r="R15" s="14"/>
      <c r="S15" s="15"/>
      <c r="T15" s="22"/>
      <c r="U15" s="16"/>
      <c r="V15" s="16"/>
      <c r="W15" s="17" t="s">
        <v>11</v>
      </c>
      <c r="X15" s="18">
        <f t="shared" ref="X15:X19" si="2">MROUND(J15+M15+P15+S15,0.05)</f>
        <v>17250</v>
      </c>
      <c r="Y15" s="19">
        <v>0</v>
      </c>
      <c r="Z15" s="20"/>
      <c r="AA15" s="3"/>
      <c r="AC15" s="114">
        <f t="shared" ref="AC15:AC26" si="3">$B15*H15/H$29</f>
        <v>1.219188974291015E-3</v>
      </c>
      <c r="AF15" s="114">
        <f t="shared" ref="AF15:AF26" si="4">$B15*K15/K$29</f>
        <v>1.1778764083304881E-3</v>
      </c>
      <c r="AI15" s="114">
        <f t="shared" ref="AI15:AI26" si="5">$B15*N15/N$29</f>
        <v>0</v>
      </c>
      <c r="AL15" s="114">
        <f t="shared" ref="AL15:AL26" si="6">$B15*Q15/Q$29</f>
        <v>0</v>
      </c>
      <c r="AO15" s="114">
        <f t="shared" ref="AO15:AO26" si="7">$B15*T15/T$29</f>
        <v>0</v>
      </c>
    </row>
    <row r="16" spans="1:41" s="21" customFormat="1" ht="15.95" customHeight="1" x14ac:dyDescent="0.2">
      <c r="A16" s="23">
        <v>9221.32</v>
      </c>
      <c r="B16" s="24">
        <v>1.6799999999999999E-2</v>
      </c>
      <c r="C16" s="25"/>
      <c r="D16" s="26" t="s">
        <v>0</v>
      </c>
      <c r="E16" s="11" t="s">
        <v>7</v>
      </c>
      <c r="F16" s="12">
        <v>40899</v>
      </c>
      <c r="G16" s="12">
        <v>44552</v>
      </c>
      <c r="H16" s="13">
        <v>4000000</v>
      </c>
      <c r="I16" s="14"/>
      <c r="J16" s="15"/>
      <c r="K16" s="22">
        <f>H16-$U16</f>
        <v>4000000</v>
      </c>
      <c r="L16" s="14"/>
      <c r="M16" s="15"/>
      <c r="N16" s="22">
        <f t="shared" ref="N16:N19" si="8">K16-$U16</f>
        <v>4000000</v>
      </c>
      <c r="O16" s="14"/>
      <c r="P16" s="15"/>
      <c r="Q16" s="22">
        <f t="shared" ref="Q16:Q19" si="9">N16-$U16</f>
        <v>4000000</v>
      </c>
      <c r="R16" s="14">
        <v>360</v>
      </c>
      <c r="S16" s="15">
        <f>Q16*$B16/360*R16</f>
        <v>67200</v>
      </c>
      <c r="T16" s="22"/>
      <c r="U16" s="16"/>
      <c r="V16" s="16"/>
      <c r="W16" s="17" t="s">
        <v>12</v>
      </c>
      <c r="X16" s="18">
        <f t="shared" si="2"/>
        <v>67200</v>
      </c>
      <c r="Y16" s="19">
        <v>0</v>
      </c>
      <c r="Z16" s="20">
        <f>MROUND(H16*B16/360*Y16,10)</f>
        <v>0</v>
      </c>
      <c r="AA16" s="3"/>
      <c r="AC16" s="114">
        <f t="shared" si="3"/>
        <v>1.1873840445269016E-3</v>
      </c>
      <c r="AF16" s="114">
        <f t="shared" si="4"/>
        <v>1.1471491976783885E-3</v>
      </c>
      <c r="AI16" s="114">
        <f t="shared" si="5"/>
        <v>1.1673760097281334E-3</v>
      </c>
      <c r="AL16" s="114">
        <f t="shared" si="6"/>
        <v>1.1676802780191137E-3</v>
      </c>
      <c r="AO16" s="114">
        <f t="shared" si="7"/>
        <v>0</v>
      </c>
    </row>
    <row r="17" spans="1:41" s="21" customFormat="1" ht="15.95" customHeight="1" x14ac:dyDescent="0.2">
      <c r="A17" s="23">
        <v>9221.33</v>
      </c>
      <c r="B17" s="24">
        <v>1.5699999999999999E-2</v>
      </c>
      <c r="C17" s="25"/>
      <c r="D17" s="26" t="s">
        <v>3</v>
      </c>
      <c r="E17" s="11" t="s">
        <v>7</v>
      </c>
      <c r="F17" s="12">
        <v>41064</v>
      </c>
      <c r="G17" s="12">
        <v>44715</v>
      </c>
      <c r="H17" s="13">
        <v>4000000</v>
      </c>
      <c r="I17" s="14"/>
      <c r="J17" s="15"/>
      <c r="K17" s="22">
        <f>H17-$U17</f>
        <v>4000000</v>
      </c>
      <c r="L17" s="14">
        <v>360</v>
      </c>
      <c r="M17" s="15">
        <f>K17*$B17/360*L17</f>
        <v>62799.999999999993</v>
      </c>
      <c r="N17" s="22">
        <f t="shared" si="8"/>
        <v>4000000</v>
      </c>
      <c r="O17" s="14"/>
      <c r="P17" s="15"/>
      <c r="Q17" s="22">
        <f t="shared" si="9"/>
        <v>4000000</v>
      </c>
      <c r="R17" s="14"/>
      <c r="S17" s="15"/>
      <c r="T17" s="22">
        <f t="shared" ref="T17:T19" si="10">Q17-$U17</f>
        <v>4000000</v>
      </c>
      <c r="U17" s="16"/>
      <c r="V17" s="16"/>
      <c r="W17" s="17" t="s">
        <v>12</v>
      </c>
      <c r="X17" s="18">
        <f>MROUND(J17+M17+P17+S17,0.05)</f>
        <v>62800</v>
      </c>
      <c r="Y17" s="19">
        <v>207</v>
      </c>
      <c r="Z17" s="20">
        <f>MROUND(N17*B17/360*Y17,10)</f>
        <v>36110</v>
      </c>
      <c r="AC17" s="114">
        <f t="shared" si="3"/>
        <v>1.1096386606590687E-3</v>
      </c>
      <c r="AF17" s="114">
        <f t="shared" si="4"/>
        <v>1.0720382383065891E-3</v>
      </c>
      <c r="AI17" s="114">
        <f t="shared" si="5"/>
        <v>1.0909406757578389E-3</v>
      </c>
      <c r="AL17" s="114">
        <f t="shared" si="6"/>
        <v>1.0912250217202431E-3</v>
      </c>
      <c r="AO17" s="114">
        <f t="shared" si="7"/>
        <v>8.9033813000637975E-4</v>
      </c>
    </row>
    <row r="18" spans="1:41" s="21" customFormat="1" ht="15.95" customHeight="1" x14ac:dyDescent="0.2">
      <c r="A18" s="10">
        <v>9221.36</v>
      </c>
      <c r="B18" s="29">
        <v>1.6899999999999998E-2</v>
      </c>
      <c r="C18" s="30"/>
      <c r="D18" s="26" t="s">
        <v>0</v>
      </c>
      <c r="E18" s="11" t="s">
        <v>30</v>
      </c>
      <c r="F18" s="12">
        <v>41670</v>
      </c>
      <c r="G18" s="12">
        <v>44957</v>
      </c>
      <c r="H18" s="13">
        <v>5000000</v>
      </c>
      <c r="I18" s="14">
        <v>360</v>
      </c>
      <c r="J18" s="15">
        <f>H18*$B18/360*I18</f>
        <v>84499.999999999985</v>
      </c>
      <c r="K18" s="22">
        <v>5000000</v>
      </c>
      <c r="L18" s="14"/>
      <c r="M18" s="15"/>
      <c r="N18" s="22">
        <f>K18-$U18</f>
        <v>5000000</v>
      </c>
      <c r="O18" s="14"/>
      <c r="P18" s="15"/>
      <c r="Q18" s="22">
        <f>N18-$U18</f>
        <v>5000000</v>
      </c>
      <c r="R18" s="14"/>
      <c r="S18" s="15"/>
      <c r="T18" s="22">
        <f>Q18-$U18</f>
        <v>5000000</v>
      </c>
      <c r="U18" s="16"/>
      <c r="V18" s="16"/>
      <c r="W18" s="17" t="s">
        <v>12</v>
      </c>
      <c r="X18" s="18">
        <f>MROUND(J18+M18+P18+S18,0.05)</f>
        <v>84500</v>
      </c>
      <c r="Y18" s="19">
        <v>330</v>
      </c>
      <c r="Z18" s="20">
        <f>MROUND(K18*B18/360*Y18,10)</f>
        <v>77460</v>
      </c>
      <c r="AC18" s="114">
        <f t="shared" si="3"/>
        <v>1.4930647583708805E-3</v>
      </c>
      <c r="AF18" s="114">
        <f t="shared" si="4"/>
        <v>1.4424718333902354E-3</v>
      </c>
      <c r="AI18" s="114">
        <f t="shared" si="5"/>
        <v>1.4679058455658819E-3</v>
      </c>
      <c r="AL18" s="114">
        <f t="shared" si="6"/>
        <v>1.4682884448305818E-3</v>
      </c>
      <c r="AO18" s="114">
        <f t="shared" si="7"/>
        <v>1.1979868150563547E-3</v>
      </c>
    </row>
    <row r="19" spans="1:41" s="21" customFormat="1" ht="15.95" customHeight="1" x14ac:dyDescent="0.2">
      <c r="A19" s="28">
        <v>9221.35</v>
      </c>
      <c r="B19" s="29">
        <v>1.38E-2</v>
      </c>
      <c r="C19" s="30"/>
      <c r="D19" s="31" t="s">
        <v>29</v>
      </c>
      <c r="E19" s="11" t="s">
        <v>30</v>
      </c>
      <c r="F19" s="12">
        <v>41346</v>
      </c>
      <c r="G19" s="12">
        <v>44998</v>
      </c>
      <c r="H19" s="13">
        <v>1595000</v>
      </c>
      <c r="I19" s="14">
        <f>31+28+31</f>
        <v>90</v>
      </c>
      <c r="J19" s="15">
        <f>H19*$B19/360*I19</f>
        <v>5502.75</v>
      </c>
      <c r="K19" s="22">
        <f>H19-$U19</f>
        <v>1580000</v>
      </c>
      <c r="L19" s="14">
        <v>90</v>
      </c>
      <c r="M19" s="15">
        <f>K19*$B19/360*L19</f>
        <v>5451</v>
      </c>
      <c r="N19" s="22">
        <f t="shared" si="8"/>
        <v>1565000</v>
      </c>
      <c r="O19" s="14">
        <v>90</v>
      </c>
      <c r="P19" s="15">
        <f>N19*$B19/360*O19</f>
        <v>5399.25</v>
      </c>
      <c r="Q19" s="22">
        <f t="shared" si="9"/>
        <v>1550000</v>
      </c>
      <c r="R19" s="14">
        <v>90</v>
      </c>
      <c r="S19" s="15">
        <f>Q19*$B19/360*R19</f>
        <v>5347.5</v>
      </c>
      <c r="T19" s="22">
        <f t="shared" si="10"/>
        <v>1535000</v>
      </c>
      <c r="U19" s="16">
        <v>15000</v>
      </c>
      <c r="V19" s="16">
        <f>U19*4</f>
        <v>60000</v>
      </c>
      <c r="W19" s="17" t="s">
        <v>11</v>
      </c>
      <c r="X19" s="18">
        <f t="shared" si="2"/>
        <v>21700.5</v>
      </c>
      <c r="Y19" s="19">
        <f>30-13</f>
        <v>17</v>
      </c>
      <c r="Z19" s="20">
        <f>MROUND(T19*B19/360*Y19,10)</f>
        <v>1000</v>
      </c>
      <c r="AC19" s="114">
        <f t="shared" si="3"/>
        <v>3.889212827988338E-4</v>
      </c>
      <c r="AF19" s="114">
        <f t="shared" si="4"/>
        <v>3.7220894503243426E-4</v>
      </c>
      <c r="AI19" s="114">
        <f t="shared" si="5"/>
        <v>3.7517588812646576E-4</v>
      </c>
      <c r="AL19" s="114">
        <f t="shared" si="6"/>
        <v>3.7167680278019116E-4</v>
      </c>
      <c r="AO19" s="114">
        <f t="shared" si="7"/>
        <v>3.0031899057205645E-4</v>
      </c>
    </row>
    <row r="20" spans="1:41" s="21" customFormat="1" ht="15.95" customHeight="1" x14ac:dyDescent="0.2">
      <c r="A20" s="28">
        <v>9221.34</v>
      </c>
      <c r="B20" s="29">
        <v>1.4999999999999999E-2</v>
      </c>
      <c r="C20" s="30"/>
      <c r="D20" s="31" t="s">
        <v>3</v>
      </c>
      <c r="E20" s="11" t="s">
        <v>7</v>
      </c>
      <c r="F20" s="12">
        <v>41104</v>
      </c>
      <c r="G20" s="12">
        <v>45485</v>
      </c>
      <c r="H20" s="13">
        <v>4000000</v>
      </c>
      <c r="I20" s="14"/>
      <c r="J20" s="15"/>
      <c r="K20" s="22">
        <f>H20-$U20</f>
        <v>4000000</v>
      </c>
      <c r="L20" s="14"/>
      <c r="M20" s="15"/>
      <c r="N20" s="22">
        <f>K20-$U20</f>
        <v>4000000</v>
      </c>
      <c r="O20" s="14">
        <v>360</v>
      </c>
      <c r="P20" s="15">
        <f>N20*$B20/360*O20</f>
        <v>60000</v>
      </c>
      <c r="Q20" s="22">
        <f>N20-$U20</f>
        <v>4000000</v>
      </c>
      <c r="R20" s="14"/>
      <c r="S20" s="15"/>
      <c r="T20" s="22">
        <f>Q20-$U20</f>
        <v>4000000</v>
      </c>
      <c r="U20" s="16"/>
      <c r="V20" s="16"/>
      <c r="W20" s="17" t="s">
        <v>12</v>
      </c>
      <c r="X20" s="18">
        <f>MROUND(J20+M20+P20+S20,0.05)</f>
        <v>60000</v>
      </c>
      <c r="Y20" s="19">
        <v>168</v>
      </c>
      <c r="Z20" s="20">
        <f>MROUND(Q20*B20/360*Y20,10)</f>
        <v>28000</v>
      </c>
      <c r="AC20" s="114">
        <f t="shared" si="3"/>
        <v>1.0601643254704478E-3</v>
      </c>
      <c r="AF20" s="114">
        <f t="shared" si="4"/>
        <v>1.0242403550699897E-3</v>
      </c>
      <c r="AI20" s="114">
        <f t="shared" si="5"/>
        <v>1.0423000086858334E-3</v>
      </c>
      <c r="AL20" s="114">
        <f t="shared" si="6"/>
        <v>1.0425716768027802E-3</v>
      </c>
      <c r="AO20" s="114">
        <f t="shared" si="7"/>
        <v>8.5064152548380238E-4</v>
      </c>
    </row>
    <row r="21" spans="1:41" s="21" customFormat="1" ht="15.95" customHeight="1" x14ac:dyDescent="0.2">
      <c r="A21" s="10">
        <v>9221.3700000000008</v>
      </c>
      <c r="B21" s="29">
        <v>4.4000000000000003E-3</v>
      </c>
      <c r="C21" s="30"/>
      <c r="D21" s="31" t="s">
        <v>3</v>
      </c>
      <c r="E21" s="11" t="s">
        <v>37</v>
      </c>
      <c r="F21" s="12">
        <v>42170</v>
      </c>
      <c r="G21" s="12">
        <v>45824</v>
      </c>
      <c r="H21" s="13">
        <v>5000000</v>
      </c>
      <c r="I21" s="14"/>
      <c r="J21" s="15"/>
      <c r="K21" s="22">
        <v>5000000</v>
      </c>
      <c r="L21" s="14">
        <v>360</v>
      </c>
      <c r="M21" s="15">
        <f>K21*$B21/360*L21</f>
        <v>22000</v>
      </c>
      <c r="N21" s="22">
        <v>5000000</v>
      </c>
      <c r="O21" s="14"/>
      <c r="P21" s="15"/>
      <c r="Q21" s="22">
        <v>5000000</v>
      </c>
      <c r="R21" s="14"/>
      <c r="S21" s="15"/>
      <c r="T21" s="22">
        <v>5000000</v>
      </c>
      <c r="U21" s="16"/>
      <c r="V21" s="16"/>
      <c r="W21" s="17" t="s">
        <v>12</v>
      </c>
      <c r="X21" s="18">
        <f>MROUND(J21+M21+P21+S21,0.05)</f>
        <v>22000</v>
      </c>
      <c r="Y21" s="19">
        <v>196</v>
      </c>
      <c r="Z21" s="20">
        <f>MROUND(N21*B21/360*Y21,10)</f>
        <v>11980</v>
      </c>
      <c r="AC21" s="114">
        <f t="shared" si="3"/>
        <v>3.8872691933916425E-4</v>
      </c>
      <c r="AF21" s="114">
        <f t="shared" si="4"/>
        <v>3.7555479685899627E-4</v>
      </c>
      <c r="AI21" s="114">
        <f t="shared" si="5"/>
        <v>3.8217666985147227E-4</v>
      </c>
      <c r="AL21" s="114">
        <f t="shared" si="6"/>
        <v>3.8227628149435275E-4</v>
      </c>
      <c r="AO21" s="114">
        <f t="shared" si="7"/>
        <v>3.119018926773942E-4</v>
      </c>
    </row>
    <row r="22" spans="1:41" s="21" customFormat="1" ht="15.95" customHeight="1" x14ac:dyDescent="0.2">
      <c r="A22" s="23">
        <v>9221.25</v>
      </c>
      <c r="B22" s="24">
        <v>9.7999999999999997E-3</v>
      </c>
      <c r="C22" s="25"/>
      <c r="D22" s="26" t="s">
        <v>2</v>
      </c>
      <c r="E22" s="11" t="s">
        <v>41</v>
      </c>
      <c r="F22" s="12">
        <v>43068</v>
      </c>
      <c r="G22" s="12">
        <v>46720</v>
      </c>
      <c r="H22" s="13">
        <v>10000000</v>
      </c>
      <c r="I22" s="14"/>
      <c r="J22" s="15"/>
      <c r="K22" s="13">
        <v>10000000</v>
      </c>
      <c r="L22" s="14"/>
      <c r="M22" s="15"/>
      <c r="N22" s="13">
        <v>10000000</v>
      </c>
      <c r="O22" s="14"/>
      <c r="P22" s="15"/>
      <c r="Q22" s="13">
        <v>10000000</v>
      </c>
      <c r="R22" s="14">
        <v>360</v>
      </c>
      <c r="S22" s="15">
        <f>Q22*$B22/360*R22</f>
        <v>98000</v>
      </c>
      <c r="T22" s="22">
        <v>10000000</v>
      </c>
      <c r="U22" s="16"/>
      <c r="V22" s="16"/>
      <c r="W22" s="17" t="s">
        <v>12</v>
      </c>
      <c r="X22" s="18">
        <f t="shared" ref="X22" si="11">MROUND(J22+M22+P22+S22,0.05)</f>
        <v>98000</v>
      </c>
      <c r="Y22" s="19">
        <v>32</v>
      </c>
      <c r="Z22" s="20">
        <f>MROUND(T22*B22/360*Y22,10)</f>
        <v>8710</v>
      </c>
      <c r="AC22" s="114">
        <f t="shared" si="3"/>
        <v>1.7316017316017316E-3</v>
      </c>
      <c r="AF22" s="114">
        <f t="shared" si="4"/>
        <v>1.6729259132809832E-3</v>
      </c>
      <c r="AI22" s="114">
        <f t="shared" si="5"/>
        <v>1.7024233475201945E-3</v>
      </c>
      <c r="AL22" s="114">
        <f t="shared" si="6"/>
        <v>1.7028670721112077E-3</v>
      </c>
      <c r="AO22" s="114">
        <f t="shared" si="7"/>
        <v>1.3893811582902104E-3</v>
      </c>
    </row>
    <row r="23" spans="1:41" s="21" customFormat="1" ht="15.95" customHeight="1" x14ac:dyDescent="0.2">
      <c r="A23" s="10">
        <v>9221.3799999999992</v>
      </c>
      <c r="B23" s="29">
        <v>4.0000000000000001E-3</v>
      </c>
      <c r="C23" s="30"/>
      <c r="D23" s="31" t="s">
        <v>3</v>
      </c>
      <c r="E23" s="11" t="s">
        <v>7</v>
      </c>
      <c r="F23" s="12">
        <v>42551</v>
      </c>
      <c r="G23" s="12">
        <v>46934</v>
      </c>
      <c r="H23" s="13">
        <v>5000000</v>
      </c>
      <c r="I23" s="14"/>
      <c r="J23" s="15"/>
      <c r="K23" s="13">
        <v>5000000</v>
      </c>
      <c r="L23" s="14"/>
      <c r="M23" s="15">
        <f>K23*B23</f>
        <v>20000</v>
      </c>
      <c r="N23" s="13">
        <v>5000000</v>
      </c>
      <c r="O23" s="14"/>
      <c r="P23" s="15"/>
      <c r="Q23" s="13">
        <v>5000000</v>
      </c>
      <c r="R23" s="14"/>
      <c r="S23" s="15"/>
      <c r="T23" s="22">
        <v>5000000</v>
      </c>
      <c r="U23" s="16"/>
      <c r="V23" s="16"/>
      <c r="W23" s="17" t="s">
        <v>12</v>
      </c>
      <c r="X23" s="18">
        <f>MROUND(J23+M23+P23+S23,0.05)</f>
        <v>20000</v>
      </c>
      <c r="Y23" s="19">
        <v>180</v>
      </c>
      <c r="Z23" s="20">
        <f>MROUND(N23*B23/360*Y23,10)</f>
        <v>10000</v>
      </c>
      <c r="AC23" s="114">
        <f t="shared" si="3"/>
        <v>3.5338810849014932E-4</v>
      </c>
      <c r="AF23" s="114">
        <f t="shared" si="4"/>
        <v>3.414134516899966E-4</v>
      </c>
      <c r="AI23" s="114">
        <f t="shared" si="5"/>
        <v>3.4743333622861116E-4</v>
      </c>
      <c r="AL23" s="114">
        <f t="shared" si="6"/>
        <v>3.4752389226759339E-4</v>
      </c>
      <c r="AO23" s="114">
        <f t="shared" si="7"/>
        <v>2.8354717516126748E-4</v>
      </c>
    </row>
    <row r="24" spans="1:41" s="21" customFormat="1" ht="15.95" customHeight="1" x14ac:dyDescent="0.2">
      <c r="A24" s="23">
        <v>9221.39</v>
      </c>
      <c r="B24" s="29">
        <v>4.1999999999999997E-3</v>
      </c>
      <c r="C24" s="30"/>
      <c r="D24" s="31" t="s">
        <v>3</v>
      </c>
      <c r="E24" s="11" t="s">
        <v>7</v>
      </c>
      <c r="F24" s="12">
        <v>42698</v>
      </c>
      <c r="G24" s="12">
        <v>47081</v>
      </c>
      <c r="H24" s="13">
        <v>5000000</v>
      </c>
      <c r="I24" s="14"/>
      <c r="J24" s="15"/>
      <c r="K24" s="13">
        <v>5000000</v>
      </c>
      <c r="L24" s="14"/>
      <c r="M24" s="15"/>
      <c r="N24" s="13">
        <v>5000000</v>
      </c>
      <c r="O24" s="14"/>
      <c r="P24" s="15"/>
      <c r="Q24" s="13">
        <v>5000000</v>
      </c>
      <c r="R24" s="14">
        <v>360</v>
      </c>
      <c r="S24" s="15">
        <f>Q24*$B24/360*R24</f>
        <v>21000</v>
      </c>
      <c r="T24" s="22">
        <v>5000000</v>
      </c>
      <c r="U24" s="16"/>
      <c r="V24" s="16"/>
      <c r="W24" s="17" t="s">
        <v>12</v>
      </c>
      <c r="X24" s="18">
        <f>MROUND(J24+M24+P24+S24,0.05)</f>
        <v>21000</v>
      </c>
      <c r="Y24" s="19">
        <v>37</v>
      </c>
      <c r="Z24" s="20">
        <f>MROUND(T24*B24/360*Y24,10)</f>
        <v>2160</v>
      </c>
      <c r="AC24" s="114">
        <f t="shared" si="3"/>
        <v>3.7105751391465676E-4</v>
      </c>
      <c r="AF24" s="114">
        <f t="shared" si="4"/>
        <v>3.5848412427449641E-4</v>
      </c>
      <c r="AI24" s="114">
        <f t="shared" si="5"/>
        <v>3.6480500304004169E-4</v>
      </c>
      <c r="AL24" s="114">
        <f t="shared" si="6"/>
        <v>3.6490008688097304E-4</v>
      </c>
      <c r="AO24" s="114">
        <f t="shared" si="7"/>
        <v>2.9772453391933081E-4</v>
      </c>
    </row>
    <row r="25" spans="1:41" s="21" customFormat="1" ht="15.95" customHeight="1" x14ac:dyDescent="0.2">
      <c r="A25" s="23" t="s">
        <v>81</v>
      </c>
      <c r="B25" s="29">
        <v>1E-3</v>
      </c>
      <c r="C25" s="30"/>
      <c r="D25" s="31" t="s">
        <v>48</v>
      </c>
      <c r="E25" s="11" t="s">
        <v>49</v>
      </c>
      <c r="F25" s="12">
        <v>43734</v>
      </c>
      <c r="G25" s="12">
        <v>47387</v>
      </c>
      <c r="H25" s="13">
        <v>5000000</v>
      </c>
      <c r="I25" s="14"/>
      <c r="J25" s="15"/>
      <c r="K25" s="13">
        <v>5000000</v>
      </c>
      <c r="L25" s="14"/>
      <c r="M25" s="15"/>
      <c r="N25" s="13">
        <v>5000000</v>
      </c>
      <c r="O25" s="14">
        <v>360</v>
      </c>
      <c r="P25" s="15">
        <f>N25*$B25/360*O25</f>
        <v>5000</v>
      </c>
      <c r="Q25" s="13">
        <v>5000000</v>
      </c>
      <c r="R25" s="14"/>
      <c r="S25" s="15"/>
      <c r="T25" s="22">
        <v>5000000</v>
      </c>
      <c r="U25" s="16"/>
      <c r="V25" s="16"/>
      <c r="W25" s="17" t="s">
        <v>12</v>
      </c>
      <c r="X25" s="18">
        <f t="shared" ref="X25:X26" si="12">MROUND(J25+M25+P25+S25,0.05)</f>
        <v>5000</v>
      </c>
      <c r="Y25" s="19">
        <v>97</v>
      </c>
      <c r="Z25" s="20">
        <f>MROUND(K25*B25/360*Y25,10)</f>
        <v>1350</v>
      </c>
      <c r="AC25" s="114">
        <f t="shared" si="3"/>
        <v>8.8347027122537329E-5</v>
      </c>
      <c r="AF25" s="114">
        <f t="shared" si="4"/>
        <v>8.5353362922499149E-5</v>
      </c>
      <c r="AI25" s="114">
        <f t="shared" si="5"/>
        <v>8.685833405715279E-5</v>
      </c>
      <c r="AL25" s="114">
        <f t="shared" si="6"/>
        <v>8.6880973066898347E-5</v>
      </c>
      <c r="AO25" s="114">
        <f t="shared" si="7"/>
        <v>7.0886793790316869E-5</v>
      </c>
    </row>
    <row r="26" spans="1:41" s="21" customFormat="1" ht="15.95" customHeight="1" x14ac:dyDescent="0.2">
      <c r="A26" s="143" t="s">
        <v>81</v>
      </c>
      <c r="B26" s="139">
        <v>5.0000000000000001E-3</v>
      </c>
      <c r="C26" s="147"/>
      <c r="D26" s="145" t="s">
        <v>48</v>
      </c>
      <c r="E26" s="146" t="s">
        <v>49</v>
      </c>
      <c r="F26" s="142">
        <v>44136</v>
      </c>
      <c r="G26" s="142">
        <v>47788</v>
      </c>
      <c r="H26" s="13"/>
      <c r="I26" s="14"/>
      <c r="J26" s="15"/>
      <c r="K26" s="13"/>
      <c r="L26" s="14"/>
      <c r="M26" s="15"/>
      <c r="N26" s="13"/>
      <c r="O26" s="14"/>
      <c r="P26" s="15"/>
      <c r="Q26" s="13"/>
      <c r="R26" s="14"/>
      <c r="S26" s="15"/>
      <c r="T26" s="22">
        <v>22000000</v>
      </c>
      <c r="U26" s="16"/>
      <c r="V26" s="16"/>
      <c r="W26" s="17" t="s">
        <v>12</v>
      </c>
      <c r="X26" s="18">
        <f t="shared" si="12"/>
        <v>0</v>
      </c>
      <c r="Y26" s="19">
        <v>61</v>
      </c>
      <c r="Z26" s="20">
        <f>MROUND(T26*B26/360*Y26,10)</f>
        <v>18640</v>
      </c>
      <c r="AC26" s="114">
        <f t="shared" si="3"/>
        <v>0</v>
      </c>
      <c r="AF26" s="114">
        <f t="shared" si="4"/>
        <v>0</v>
      </c>
      <c r="AI26" s="114">
        <f t="shared" si="5"/>
        <v>0</v>
      </c>
      <c r="AL26" s="114">
        <f t="shared" si="6"/>
        <v>0</v>
      </c>
      <c r="AO26" s="114">
        <f t="shared" si="7"/>
        <v>1.5595094633869711E-3</v>
      </c>
    </row>
    <row r="27" spans="1:41" s="21" customFormat="1" ht="15.95" customHeight="1" x14ac:dyDescent="0.2">
      <c r="A27" s="23"/>
      <c r="B27" s="24"/>
      <c r="C27" s="30"/>
      <c r="D27" s="26"/>
      <c r="E27" s="11"/>
      <c r="F27" s="12"/>
      <c r="G27" s="12"/>
      <c r="H27" s="13"/>
      <c r="I27" s="14"/>
      <c r="J27" s="15"/>
      <c r="K27" s="13"/>
      <c r="L27" s="14"/>
      <c r="M27" s="15"/>
      <c r="N27" s="13"/>
      <c r="O27" s="14"/>
      <c r="P27" s="15"/>
      <c r="Q27" s="13"/>
      <c r="R27" s="14"/>
      <c r="S27" s="15"/>
      <c r="T27" s="22"/>
      <c r="U27" s="16"/>
      <c r="V27" s="16"/>
      <c r="W27" s="17"/>
      <c r="X27" s="18"/>
      <c r="Y27" s="19"/>
      <c r="Z27" s="20"/>
      <c r="AC27" s="114"/>
      <c r="AF27" s="114"/>
      <c r="AI27" s="114"/>
      <c r="AL27" s="114"/>
      <c r="AO27" s="114"/>
    </row>
    <row r="28" spans="1:41" s="21" customFormat="1" ht="15.95" customHeight="1" x14ac:dyDescent="0.2">
      <c r="A28" s="23"/>
      <c r="B28" s="24"/>
      <c r="C28" s="30"/>
      <c r="D28" s="26"/>
      <c r="E28" s="11"/>
      <c r="F28" s="12"/>
      <c r="G28" s="12"/>
      <c r="H28" s="13"/>
      <c r="I28" s="14"/>
      <c r="J28" s="15"/>
      <c r="K28" s="13"/>
      <c r="L28" s="14"/>
      <c r="M28" s="15"/>
      <c r="N28" s="13"/>
      <c r="O28" s="14"/>
      <c r="P28" s="15"/>
      <c r="Q28" s="13"/>
      <c r="R28" s="14"/>
      <c r="S28" s="15"/>
      <c r="T28" s="22"/>
      <c r="U28" s="16"/>
      <c r="V28" s="16"/>
      <c r="W28" s="17"/>
      <c r="X28" s="18"/>
      <c r="Y28" s="19"/>
      <c r="Z28" s="20"/>
      <c r="AC28" s="114"/>
      <c r="AF28" s="114"/>
      <c r="AI28" s="114"/>
      <c r="AL28" s="114"/>
      <c r="AO28" s="114"/>
    </row>
    <row r="29" spans="1:41" ht="20.100000000000001" customHeight="1" x14ac:dyDescent="0.2">
      <c r="A29" s="33"/>
      <c r="B29" s="33"/>
      <c r="C29" s="33"/>
      <c r="D29" s="34" t="s">
        <v>13</v>
      </c>
      <c r="E29" s="35"/>
      <c r="F29" s="35"/>
      <c r="G29" s="36"/>
      <c r="H29" s="37">
        <f>SUM(H8:H28)</f>
        <v>56595000</v>
      </c>
      <c r="I29" s="38"/>
      <c r="J29" s="39">
        <f>SUM(J8:J28)</f>
        <v>106342.74999999999</v>
      </c>
      <c r="K29" s="37">
        <f>SUM(K8:K28)</f>
        <v>58580000</v>
      </c>
      <c r="L29" s="38"/>
      <c r="M29" s="39">
        <f>SUM(M8:M28)</f>
        <v>103375.44444444444</v>
      </c>
      <c r="N29" s="37">
        <f>SUM(N8:N28)</f>
        <v>57565000</v>
      </c>
      <c r="O29" s="38"/>
      <c r="P29" s="39">
        <f>SUM(P8:P28)</f>
        <v>64725.9</v>
      </c>
      <c r="Q29" s="37">
        <f>SUM(Q8:Q28)</f>
        <v>57550000</v>
      </c>
      <c r="R29" s="38"/>
      <c r="S29" s="39">
        <f>SUM(S8:S28)</f>
        <v>184890.83333333334</v>
      </c>
      <c r="T29" s="37">
        <f>SUM(T8:T28)</f>
        <v>70535000</v>
      </c>
      <c r="U29" s="40"/>
      <c r="V29" s="40"/>
      <c r="W29" s="41"/>
      <c r="X29" s="42">
        <f>SUM(X8:X28)</f>
        <v>459334.95</v>
      </c>
      <c r="Y29" s="43"/>
      <c r="Z29" s="44">
        <f>ROUNDDOWN(SUM(Z8:Z28),100)</f>
        <v>194800</v>
      </c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41" s="21" customFormat="1" ht="17.25" hidden="1" customHeight="1" x14ac:dyDescent="0.2">
      <c r="A30" s="45"/>
      <c r="B30" s="46"/>
      <c r="C30" s="46"/>
      <c r="D30" s="47"/>
      <c r="E30" s="235" t="s">
        <v>33</v>
      </c>
      <c r="F30" s="236"/>
      <c r="G30" s="236"/>
      <c r="H30" s="236"/>
      <c r="I30" s="48"/>
      <c r="J30" s="49"/>
      <c r="K30" s="50"/>
      <c r="L30" s="48"/>
      <c r="M30" s="49"/>
      <c r="N30" s="50"/>
      <c r="O30" s="48"/>
      <c r="P30" s="49"/>
      <c r="Q30" s="50"/>
      <c r="R30" s="48"/>
      <c r="S30" s="49"/>
      <c r="T30" s="50"/>
      <c r="AA30" s="57"/>
    </row>
    <row r="31" spans="1:41" s="21" customFormat="1" ht="12.75" customHeight="1" x14ac:dyDescent="0.2">
      <c r="B31" s="58"/>
      <c r="C31" s="58"/>
      <c r="D31" s="59"/>
      <c r="E31" s="21" t="s">
        <v>40</v>
      </c>
      <c r="G31" s="60"/>
      <c r="H31" s="61"/>
      <c r="I31" s="61"/>
      <c r="J31" s="61"/>
      <c r="K31" s="62">
        <f>J29/AVERAGE(H29,K29)</f>
        <v>1.8466290427610157E-3</v>
      </c>
      <c r="L31" s="61"/>
      <c r="M31" s="61"/>
      <c r="N31" s="62">
        <f>M29/AVERAGE(K29,N29)</f>
        <v>1.7801101114028918E-3</v>
      </c>
      <c r="O31" s="61"/>
      <c r="P31" s="61"/>
      <c r="Q31" s="62">
        <f>P29/AVERAGE(N29,Q29)</f>
        <v>1.1245432828041525E-3</v>
      </c>
      <c r="R31" s="61"/>
      <c r="S31" s="61"/>
      <c r="T31" s="62">
        <f>S29/AVERAGE(Q29,T29)</f>
        <v>2.8870021209873651E-3</v>
      </c>
      <c r="U31" s="51" t="s">
        <v>80</v>
      </c>
      <c r="V31" s="52"/>
      <c r="W31" s="53"/>
      <c r="X31" s="54">
        <v>-169430</v>
      </c>
      <c r="Y31" s="55"/>
      <c r="Z31" s="56"/>
      <c r="AB31" s="115">
        <f>AVERAGE(AC31,AF31,AI31,AL31,AO31)</f>
        <v>6.1813444200600268E-3</v>
      </c>
      <c r="AC31" s="115">
        <f>SUM(AC8:AC28)</f>
        <v>9.3914833465853862E-3</v>
      </c>
      <c r="AF31" s="115">
        <f>SUM(AF8:AF28)</f>
        <v>4.1297166268350963E-3</v>
      </c>
      <c r="AI31" s="115">
        <f>SUM(AI8:AI28)</f>
        <v>4.0073951185616262E-3</v>
      </c>
      <c r="AL31" s="115">
        <f>SUM(AL8:AL28)</f>
        <v>6.2258905299739358E-3</v>
      </c>
      <c r="AO31" s="115">
        <f>SUM(AO8:AO28)</f>
        <v>7.1522364783440841E-3</v>
      </c>
    </row>
    <row r="32" spans="1:41" s="21" customFormat="1" ht="12.75" customHeight="1" x14ac:dyDescent="0.2">
      <c r="B32" s="58"/>
      <c r="C32" s="58"/>
      <c r="D32" s="59"/>
      <c r="G32" s="60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6"/>
      <c r="T32" s="67"/>
      <c r="U32" s="63"/>
      <c r="V32" s="64"/>
      <c r="W32" s="65"/>
      <c r="X32" s="54"/>
      <c r="Y32" s="55"/>
      <c r="Z32" s="56"/>
    </row>
    <row r="33" spans="1:26" s="21" customFormat="1" ht="17.25" customHeight="1" x14ac:dyDescent="0.2">
      <c r="B33" s="58"/>
      <c r="C33" s="58"/>
      <c r="D33" s="59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8" t="s">
        <v>24</v>
      </c>
      <c r="V33" s="69"/>
      <c r="W33" s="70"/>
      <c r="X33" s="54">
        <f>X29+X31</f>
        <v>289904.95</v>
      </c>
      <c r="Y33" s="55"/>
      <c r="Z33" s="56">
        <f>X33</f>
        <v>289904.95</v>
      </c>
    </row>
    <row r="34" spans="1:26" ht="20.100000000000001" customHeight="1" x14ac:dyDescent="0.2">
      <c r="B34" s="71"/>
      <c r="C34" s="71"/>
      <c r="D34" s="71"/>
      <c r="E34" s="21"/>
      <c r="F34" s="21"/>
      <c r="G34" s="72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4" t="s">
        <v>86</v>
      </c>
      <c r="V34" s="75"/>
      <c r="W34" s="75"/>
      <c r="X34" s="76"/>
      <c r="Y34" s="77"/>
      <c r="Z34" s="78">
        <f>Z29+Z33</f>
        <v>484704.95</v>
      </c>
    </row>
    <row r="35" spans="1:26" ht="15.75" x14ac:dyDescent="0.2">
      <c r="A35" s="150" t="s">
        <v>69</v>
      </c>
      <c r="B35" s="151"/>
      <c r="C35" s="151"/>
      <c r="D35" s="151"/>
      <c r="E35" s="151"/>
      <c r="F35" s="151"/>
      <c r="G35" s="151"/>
      <c r="H35" s="151" t="s">
        <v>99</v>
      </c>
      <c r="U35" s="79"/>
      <c r="V35" s="80"/>
      <c r="W35" s="81"/>
      <c r="X35" s="81"/>
      <c r="Y35" s="81"/>
      <c r="Z35" s="82"/>
    </row>
    <row r="36" spans="1:26" x14ac:dyDescent="0.2">
      <c r="A36" s="151"/>
      <c r="B36" s="151"/>
      <c r="C36" s="151"/>
      <c r="D36" s="151"/>
      <c r="E36" s="151"/>
      <c r="F36" s="151"/>
      <c r="G36" s="152"/>
      <c r="H36" s="152"/>
      <c r="U36" s="83" t="s">
        <v>85</v>
      </c>
      <c r="V36" s="84"/>
      <c r="W36" s="85"/>
      <c r="X36" s="85"/>
      <c r="Y36" s="85"/>
      <c r="Z36" s="86">
        <f>Z34/AVERAGE(H29,K29,N29,Q29,T29)</f>
        <v>8.0562611152663506E-3</v>
      </c>
    </row>
    <row r="37" spans="1:26" x14ac:dyDescent="0.2">
      <c r="A37" s="151" t="s">
        <v>43</v>
      </c>
      <c r="B37" s="151"/>
      <c r="C37" s="151"/>
      <c r="D37" s="151"/>
      <c r="E37" s="151"/>
      <c r="F37" s="151"/>
      <c r="G37" s="152"/>
      <c r="H37" s="152"/>
      <c r="U37" s="83"/>
      <c r="V37" s="84"/>
      <c r="W37" s="85"/>
      <c r="X37" s="85"/>
      <c r="Y37" s="85"/>
      <c r="Z37" s="86"/>
    </row>
    <row r="38" spans="1:26" ht="15.75" x14ac:dyDescent="0.2">
      <c r="A38" s="153">
        <v>9210.3799999999992</v>
      </c>
      <c r="B38" s="154">
        <v>-3.3999999999999998E-3</v>
      </c>
      <c r="C38" s="155" t="s">
        <v>38</v>
      </c>
      <c r="D38" s="155" t="s">
        <v>39</v>
      </c>
      <c r="E38" s="155" t="s">
        <v>38</v>
      </c>
      <c r="F38" s="156">
        <v>43613</v>
      </c>
      <c r="G38" s="156">
        <v>43797</v>
      </c>
      <c r="H38" s="157">
        <v>8000000</v>
      </c>
      <c r="I38" s="107"/>
      <c r="J38" s="107"/>
      <c r="K38" s="107"/>
      <c r="L38" s="107"/>
      <c r="M38" s="107"/>
      <c r="N38" s="107"/>
      <c r="O38" s="108" t="s">
        <v>56</v>
      </c>
      <c r="P38" s="108" t="s">
        <v>55</v>
      </c>
      <c r="R38" s="92" t="s">
        <v>68</v>
      </c>
      <c r="T38" s="87"/>
      <c r="V38" s="88"/>
    </row>
    <row r="39" spans="1:26" x14ac:dyDescent="0.2">
      <c r="A39" s="158"/>
      <c r="B39" s="158"/>
      <c r="C39" s="158"/>
      <c r="D39" s="158"/>
      <c r="E39" s="158"/>
      <c r="F39" s="158"/>
      <c r="G39" s="158"/>
      <c r="H39" s="158"/>
      <c r="I39" s="107"/>
      <c r="J39" s="107"/>
      <c r="K39" s="107"/>
      <c r="L39" s="107"/>
      <c r="M39" s="107"/>
      <c r="N39" s="107"/>
      <c r="O39" s="107"/>
      <c r="P39" s="109">
        <v>1E-4</v>
      </c>
      <c r="R39" s="95"/>
      <c r="S39" s="81"/>
      <c r="T39" s="81"/>
      <c r="U39" s="96"/>
      <c r="V39" s="97"/>
      <c r="Z39" s="3">
        <v>-2470</v>
      </c>
    </row>
    <row r="40" spans="1:26" x14ac:dyDescent="0.2">
      <c r="A40" s="158" t="s">
        <v>42</v>
      </c>
      <c r="B40" s="158"/>
      <c r="C40" s="158"/>
      <c r="D40" s="158"/>
      <c r="E40" s="158"/>
      <c r="F40" s="158"/>
      <c r="G40" s="158"/>
      <c r="H40" s="158"/>
      <c r="I40" s="107"/>
      <c r="J40" s="107"/>
      <c r="K40" s="107"/>
      <c r="L40" s="107"/>
      <c r="M40" s="107"/>
      <c r="N40" s="107"/>
      <c r="O40" s="107"/>
      <c r="P40" s="107"/>
      <c r="R40" s="6"/>
      <c r="S40" s="21" t="s">
        <v>59</v>
      </c>
      <c r="T40" s="102"/>
      <c r="U40" s="103">
        <f>H29</f>
        <v>56595000</v>
      </c>
      <c r="V40" s="98"/>
      <c r="Z40" s="87">
        <f>X31+Z39</f>
        <v>-171900</v>
      </c>
    </row>
    <row r="41" spans="1:26" x14ac:dyDescent="0.2">
      <c r="A41" s="158"/>
      <c r="B41" s="158"/>
      <c r="C41" s="158"/>
      <c r="D41" s="158"/>
      <c r="E41" s="158"/>
      <c r="F41" s="158"/>
      <c r="G41" s="158"/>
      <c r="H41" s="158"/>
      <c r="I41" s="107"/>
      <c r="J41" s="107"/>
      <c r="K41" s="107"/>
      <c r="L41" s="107"/>
      <c r="M41" s="107"/>
      <c r="N41" s="107"/>
      <c r="O41" s="107"/>
      <c r="P41" s="110"/>
      <c r="R41" s="6"/>
      <c r="S41" s="21"/>
      <c r="T41" s="102"/>
      <c r="U41" s="103"/>
      <c r="V41" s="98"/>
    </row>
    <row r="42" spans="1:26" x14ac:dyDescent="0.2">
      <c r="A42" s="153">
        <v>9210.42</v>
      </c>
      <c r="B42" s="154">
        <v>-2.5000000000000001E-3</v>
      </c>
      <c r="C42" s="155" t="s">
        <v>38</v>
      </c>
      <c r="D42" s="155" t="s">
        <v>39</v>
      </c>
      <c r="E42" s="155" t="s">
        <v>38</v>
      </c>
      <c r="F42" s="156">
        <v>43797</v>
      </c>
      <c r="G42" s="156">
        <v>43979</v>
      </c>
      <c r="H42" s="157">
        <v>4000000</v>
      </c>
      <c r="I42" s="107"/>
      <c r="J42" s="107"/>
      <c r="K42" s="107"/>
      <c r="L42" s="107"/>
      <c r="M42" s="107"/>
      <c r="N42" s="107"/>
      <c r="O42" s="107">
        <v>1</v>
      </c>
      <c r="P42" s="110">
        <f>H42*P$39*O42*2</f>
        <v>800</v>
      </c>
      <c r="R42" s="6"/>
      <c r="S42" s="102" t="s">
        <v>79</v>
      </c>
      <c r="T42" s="21"/>
      <c r="U42" s="103">
        <f>S67</f>
        <v>12471000</v>
      </c>
      <c r="V42" s="98"/>
      <c r="Z42" s="87">
        <f>SUM(Z15:Z28)+SUM(X15:X28)</f>
        <v>674860.5</v>
      </c>
    </row>
    <row r="43" spans="1:26" ht="13.5" thickBot="1" x14ac:dyDescent="0.25">
      <c r="A43" s="158"/>
      <c r="B43" s="158"/>
      <c r="C43" s="158"/>
      <c r="D43" s="158"/>
      <c r="E43" s="158"/>
      <c r="F43" s="158"/>
      <c r="G43" s="158"/>
      <c r="H43" s="158"/>
      <c r="I43" s="107"/>
      <c r="J43" s="107"/>
      <c r="K43" s="107"/>
      <c r="L43" s="107"/>
      <c r="M43" s="107"/>
      <c r="N43" s="107"/>
      <c r="O43" s="107"/>
      <c r="P43" s="110"/>
      <c r="R43" s="6"/>
      <c r="S43" s="102"/>
      <c r="T43" s="21"/>
      <c r="U43" s="103"/>
      <c r="V43" s="98"/>
    </row>
    <row r="44" spans="1:26" ht="13.5" thickBot="1" x14ac:dyDescent="0.25">
      <c r="A44" s="158" t="s">
        <v>42</v>
      </c>
      <c r="B44" s="158"/>
      <c r="C44" s="158"/>
      <c r="D44" s="158"/>
      <c r="E44" s="158"/>
      <c r="F44" s="158"/>
      <c r="G44" s="158"/>
      <c r="H44" s="158"/>
      <c r="I44" s="107"/>
      <c r="J44" s="107"/>
      <c r="K44" s="21"/>
      <c r="L44" s="21"/>
      <c r="M44" s="21"/>
      <c r="N44" s="21"/>
      <c r="O44" s="21"/>
      <c r="P44" s="110"/>
      <c r="R44" s="6"/>
      <c r="S44" s="102" t="s">
        <v>57</v>
      </c>
      <c r="T44" s="21"/>
      <c r="U44" s="103">
        <v>1963955</v>
      </c>
      <c r="V44" s="98"/>
      <c r="Z44" s="127">
        <f>Z40+Z42</f>
        <v>502960.5</v>
      </c>
    </row>
    <row r="45" spans="1:26" x14ac:dyDescent="0.2">
      <c r="A45" s="158"/>
      <c r="B45" s="158"/>
      <c r="C45" s="158"/>
      <c r="D45" s="158"/>
      <c r="E45" s="158"/>
      <c r="F45" s="158"/>
      <c r="G45" s="158"/>
      <c r="H45" s="158"/>
      <c r="I45" s="107"/>
      <c r="J45" s="107"/>
      <c r="K45" s="21"/>
      <c r="L45" s="21"/>
      <c r="M45" s="21"/>
      <c r="N45" s="21"/>
      <c r="O45" s="21"/>
      <c r="P45" s="110"/>
      <c r="R45" s="6"/>
      <c r="S45" s="102"/>
      <c r="T45" s="21"/>
      <c r="U45" s="103"/>
      <c r="V45" s="98"/>
    </row>
    <row r="46" spans="1:26" x14ac:dyDescent="0.2">
      <c r="A46" s="153">
        <v>9210.4599999999991</v>
      </c>
      <c r="B46" s="154">
        <v>-1.5E-3</v>
      </c>
      <c r="C46" s="155" t="s">
        <v>38</v>
      </c>
      <c r="D46" s="155" t="s">
        <v>39</v>
      </c>
      <c r="E46" s="155" t="s">
        <v>38</v>
      </c>
      <c r="F46" s="156">
        <v>43979</v>
      </c>
      <c r="G46" s="156">
        <v>44165</v>
      </c>
      <c r="H46" s="157">
        <v>6000000</v>
      </c>
      <c r="I46" s="107"/>
      <c r="J46" s="107"/>
      <c r="K46" s="107"/>
      <c r="L46" s="107"/>
      <c r="M46" s="107"/>
      <c r="N46" s="107"/>
      <c r="O46" s="107"/>
      <c r="P46" s="110"/>
      <c r="R46" s="6"/>
      <c r="S46" s="102" t="s">
        <v>65</v>
      </c>
      <c r="T46" s="21"/>
      <c r="U46" s="103">
        <f>U40+U42-U44</f>
        <v>67102045</v>
      </c>
      <c r="V46" s="98"/>
    </row>
    <row r="47" spans="1:26" x14ac:dyDescent="0.2">
      <c r="A47" s="158"/>
      <c r="B47" s="158"/>
      <c r="C47" s="158"/>
      <c r="D47" s="158"/>
      <c r="E47" s="158"/>
      <c r="F47" s="158"/>
      <c r="G47" s="158"/>
      <c r="H47" s="158"/>
      <c r="I47" s="107"/>
      <c r="J47" s="107"/>
      <c r="K47" s="107"/>
      <c r="L47" s="107"/>
      <c r="M47" s="107"/>
      <c r="N47" s="107"/>
      <c r="O47" s="107"/>
      <c r="P47" s="110"/>
      <c r="R47" s="6"/>
      <c r="S47" s="102"/>
      <c r="T47" s="21"/>
      <c r="U47" s="21"/>
      <c r="V47" s="98"/>
    </row>
    <row r="48" spans="1:26" x14ac:dyDescent="0.2">
      <c r="A48" s="158" t="s">
        <v>44</v>
      </c>
      <c r="B48" s="158"/>
      <c r="C48" s="158"/>
      <c r="D48" s="158"/>
      <c r="E48" s="158"/>
      <c r="F48" s="158"/>
      <c r="G48" s="158"/>
      <c r="H48" s="158"/>
      <c r="I48" s="107"/>
      <c r="J48" s="21"/>
      <c r="K48" s="107"/>
      <c r="L48" s="107"/>
      <c r="M48" s="107"/>
      <c r="N48" s="107"/>
      <c r="O48" s="107"/>
      <c r="P48" s="110"/>
      <c r="R48" s="6"/>
      <c r="S48" s="102" t="s">
        <v>58</v>
      </c>
      <c r="T48" s="21"/>
      <c r="U48" s="103">
        <f>T29</f>
        <v>70535000</v>
      </c>
      <c r="V48" s="98"/>
    </row>
    <row r="49" spans="1:24" x14ac:dyDescent="0.2">
      <c r="A49" s="153">
        <v>9210.44</v>
      </c>
      <c r="B49" s="154">
        <v>-3.5999999999999999E-3</v>
      </c>
      <c r="C49" s="155" t="s">
        <v>38</v>
      </c>
      <c r="D49" s="155" t="s">
        <v>39</v>
      </c>
      <c r="E49" s="155" t="s">
        <v>38</v>
      </c>
      <c r="F49" s="156">
        <v>43822</v>
      </c>
      <c r="G49" s="156">
        <v>43913</v>
      </c>
      <c r="H49" s="157">
        <v>1000000</v>
      </c>
      <c r="I49" s="107"/>
      <c r="J49" s="21"/>
      <c r="K49" s="107"/>
      <c r="L49" s="107"/>
      <c r="M49" s="107"/>
      <c r="N49" s="107"/>
      <c r="O49" s="107">
        <v>1</v>
      </c>
      <c r="P49" s="110">
        <f>H53*P$39*O49*2</f>
        <v>600</v>
      </c>
      <c r="R49" s="6"/>
      <c r="S49" s="102"/>
      <c r="T49" s="21"/>
      <c r="U49" s="21"/>
      <c r="V49" s="98"/>
    </row>
    <row r="50" spans="1:24" x14ac:dyDescent="0.2">
      <c r="A50" s="158"/>
      <c r="B50" s="158"/>
      <c r="C50" s="158"/>
      <c r="D50" s="158"/>
      <c r="E50" s="158"/>
      <c r="F50" s="158"/>
      <c r="G50" s="158"/>
      <c r="H50" s="158"/>
      <c r="I50" s="107"/>
      <c r="J50" s="107"/>
      <c r="K50" s="107"/>
      <c r="L50" s="107"/>
      <c r="M50" s="107"/>
      <c r="N50" s="107"/>
      <c r="O50" s="107"/>
      <c r="P50" s="110"/>
      <c r="R50" s="6"/>
      <c r="S50" s="21" t="s">
        <v>61</v>
      </c>
      <c r="T50" s="21"/>
      <c r="U50" s="103">
        <f>U46-U48</f>
        <v>-3432955</v>
      </c>
      <c r="V50" s="98"/>
      <c r="X50" s="3" t="s">
        <v>66</v>
      </c>
    </row>
    <row r="51" spans="1:24" x14ac:dyDescent="0.2">
      <c r="A51" s="158" t="s">
        <v>42</v>
      </c>
      <c r="B51" s="158"/>
      <c r="C51" s="158"/>
      <c r="D51" s="158"/>
      <c r="E51" s="158"/>
      <c r="F51" s="158"/>
      <c r="G51" s="158"/>
      <c r="H51" s="158"/>
      <c r="I51" s="107"/>
      <c r="J51" s="107"/>
      <c r="K51" s="107"/>
      <c r="L51" s="107"/>
      <c r="M51" s="107"/>
      <c r="N51" s="107"/>
      <c r="O51" s="107"/>
      <c r="P51" s="110"/>
      <c r="R51" s="99"/>
      <c r="S51" s="100"/>
      <c r="T51" s="100"/>
      <c r="U51" s="100"/>
      <c r="V51" s="101"/>
    </row>
    <row r="52" spans="1:24" x14ac:dyDescent="0.2">
      <c r="A52" s="158"/>
      <c r="B52" s="158"/>
      <c r="C52" s="158"/>
      <c r="D52" s="158"/>
      <c r="E52" s="158"/>
      <c r="F52" s="158"/>
      <c r="G52" s="158"/>
      <c r="H52" s="158"/>
      <c r="I52" s="107"/>
      <c r="J52" s="107"/>
      <c r="K52" s="107"/>
      <c r="L52" s="107"/>
      <c r="M52" s="107"/>
      <c r="N52" s="107"/>
      <c r="O52" s="107"/>
      <c r="P52" s="110"/>
      <c r="U52" s="3"/>
      <c r="V52" s="3"/>
    </row>
    <row r="53" spans="1:24" x14ac:dyDescent="0.2">
      <c r="A53" s="153">
        <v>9210.4500000000007</v>
      </c>
      <c r="B53" s="154">
        <v>-3.7000000000000002E-3</v>
      </c>
      <c r="C53" s="155" t="s">
        <v>38</v>
      </c>
      <c r="D53" s="155" t="s">
        <v>39</v>
      </c>
      <c r="E53" s="155" t="s">
        <v>38</v>
      </c>
      <c r="F53" s="156">
        <v>43913</v>
      </c>
      <c r="G53" s="156">
        <v>44097</v>
      </c>
      <c r="H53" s="157">
        <v>3000000</v>
      </c>
      <c r="I53" s="107"/>
      <c r="J53" s="107"/>
      <c r="K53" s="107"/>
      <c r="L53" s="107"/>
      <c r="M53" s="107"/>
      <c r="N53" s="107"/>
      <c r="O53" s="107"/>
      <c r="P53" s="110"/>
      <c r="U53" s="3"/>
    </row>
    <row r="54" spans="1:24" x14ac:dyDescent="0.2">
      <c r="A54" s="158"/>
      <c r="B54" s="158"/>
      <c r="C54" s="158"/>
      <c r="D54" s="158"/>
      <c r="E54" s="158"/>
      <c r="F54" s="158"/>
      <c r="G54" s="158"/>
      <c r="H54" s="158"/>
      <c r="I54" s="107"/>
      <c r="J54" s="107"/>
      <c r="K54" s="107"/>
      <c r="L54" s="107"/>
      <c r="M54" s="107"/>
      <c r="N54" s="107"/>
      <c r="O54" s="107"/>
      <c r="P54" s="110"/>
      <c r="U54" s="3"/>
    </row>
    <row r="55" spans="1:24" x14ac:dyDescent="0.2">
      <c r="A55" s="158" t="s">
        <v>42</v>
      </c>
      <c r="B55" s="158"/>
      <c r="C55" s="158"/>
      <c r="D55" s="158"/>
      <c r="E55" s="158"/>
      <c r="F55" s="158"/>
      <c r="G55" s="158"/>
      <c r="H55" s="158"/>
      <c r="I55" s="107"/>
      <c r="J55" s="107"/>
      <c r="K55" s="107"/>
      <c r="L55" s="107"/>
      <c r="M55" s="107"/>
      <c r="N55" s="107"/>
      <c r="O55" s="107"/>
      <c r="P55" s="110"/>
      <c r="R55" s="3" t="s">
        <v>73</v>
      </c>
      <c r="S55" s="110">
        <v>4796400.5</v>
      </c>
      <c r="T55" s="87"/>
    </row>
    <row r="56" spans="1:24" x14ac:dyDescent="0.2">
      <c r="A56" s="158"/>
      <c r="B56" s="158"/>
      <c r="C56" s="158"/>
      <c r="D56" s="158"/>
      <c r="E56" s="158"/>
      <c r="F56" s="158"/>
      <c r="G56" s="158"/>
      <c r="H56" s="158"/>
      <c r="I56" s="107"/>
      <c r="J56" s="107"/>
      <c r="K56" s="107"/>
      <c r="L56" s="107"/>
      <c r="M56" s="107"/>
      <c r="N56" s="107"/>
      <c r="O56" s="107">
        <v>10</v>
      </c>
      <c r="P56" s="110" t="e">
        <f>#REF!*P$39*O56</f>
        <v>#REF!</v>
      </c>
      <c r="S56" s="110"/>
    </row>
    <row r="57" spans="1:24" x14ac:dyDescent="0.2">
      <c r="A57" s="158"/>
      <c r="B57" s="158"/>
      <c r="C57" s="158"/>
      <c r="D57" s="158"/>
      <c r="E57" s="158"/>
      <c r="F57" s="158"/>
      <c r="G57" s="158"/>
      <c r="H57" s="158"/>
      <c r="I57" s="107"/>
      <c r="J57" s="107"/>
      <c r="K57" s="107"/>
      <c r="L57" s="107"/>
      <c r="M57" s="107"/>
      <c r="N57" s="107"/>
      <c r="O57" s="107"/>
      <c r="R57" s="3" t="s">
        <v>72</v>
      </c>
      <c r="S57" s="110">
        <v>8433000</v>
      </c>
    </row>
    <row r="58" spans="1:24" x14ac:dyDescent="0.2">
      <c r="A58" s="158"/>
      <c r="B58" s="158"/>
      <c r="C58" s="158"/>
      <c r="D58" s="158"/>
      <c r="E58" s="158"/>
      <c r="F58" s="158"/>
      <c r="G58" s="158"/>
      <c r="H58" s="158"/>
      <c r="I58" s="107"/>
      <c r="J58" s="107"/>
      <c r="K58" s="107"/>
      <c r="L58" s="107"/>
      <c r="M58" s="107"/>
      <c r="N58" s="107"/>
      <c r="P58" s="104"/>
      <c r="S58" s="110"/>
    </row>
    <row r="59" spans="1:24" x14ac:dyDescent="0.2">
      <c r="A59" s="158" t="s">
        <v>46</v>
      </c>
      <c r="B59" s="158"/>
      <c r="C59" s="158"/>
      <c r="D59" s="158"/>
      <c r="E59" s="158"/>
      <c r="F59" s="158"/>
      <c r="G59" s="158"/>
      <c r="H59" s="158"/>
      <c r="I59" s="21"/>
      <c r="J59" s="107"/>
      <c r="K59" s="107"/>
      <c r="L59" s="107"/>
      <c r="M59" s="107"/>
      <c r="N59" s="107"/>
      <c r="P59" s="104"/>
      <c r="R59" s="3" t="s">
        <v>75</v>
      </c>
      <c r="S59" s="110">
        <v>857500</v>
      </c>
    </row>
    <row r="60" spans="1:24" x14ac:dyDescent="0.2">
      <c r="A60" s="153">
        <v>9210.41</v>
      </c>
      <c r="B60" s="154">
        <v>2.3E-2</v>
      </c>
      <c r="C60" s="159" t="s">
        <v>31</v>
      </c>
      <c r="D60" s="160" t="s">
        <v>3</v>
      </c>
      <c r="E60" s="155" t="s">
        <v>1</v>
      </c>
      <c r="F60" s="156">
        <v>40632</v>
      </c>
      <c r="G60" s="156">
        <v>43920</v>
      </c>
      <c r="H60" s="157">
        <v>3000000</v>
      </c>
      <c r="I60" s="21"/>
      <c r="J60" s="107"/>
      <c r="K60" s="107"/>
      <c r="L60" s="107"/>
      <c r="M60" s="107"/>
      <c r="N60" s="107"/>
      <c r="S60" s="110"/>
    </row>
    <row r="61" spans="1:24" x14ac:dyDescent="0.2">
      <c r="A61" s="158"/>
      <c r="B61" s="158"/>
      <c r="C61" s="158"/>
      <c r="D61" s="158"/>
      <c r="E61" s="158"/>
      <c r="F61" s="158"/>
      <c r="G61" s="158"/>
      <c r="H61" s="158"/>
      <c r="I61" s="107"/>
      <c r="J61" s="107"/>
      <c r="K61" s="107"/>
      <c r="L61" s="107"/>
      <c r="M61" s="107"/>
      <c r="N61" s="107"/>
      <c r="R61" s="3" t="s">
        <v>76</v>
      </c>
      <c r="S61" s="110">
        <v>4038000</v>
      </c>
    </row>
    <row r="62" spans="1:24" x14ac:dyDescent="0.2">
      <c r="A62" s="158" t="s">
        <v>88</v>
      </c>
      <c r="B62" s="158"/>
      <c r="C62" s="158"/>
      <c r="D62" s="158"/>
      <c r="E62" s="158"/>
      <c r="F62" s="158"/>
      <c r="G62" s="158"/>
      <c r="H62" s="158"/>
      <c r="I62" s="107"/>
      <c r="J62" s="21"/>
      <c r="K62" s="107"/>
      <c r="L62" s="107"/>
      <c r="M62" s="107"/>
      <c r="N62" s="107"/>
      <c r="O62" s="107">
        <v>15</v>
      </c>
      <c r="P62" s="110">
        <f>H69*P$39*O62</f>
        <v>0</v>
      </c>
      <c r="S62" s="110"/>
    </row>
    <row r="63" spans="1:24" x14ac:dyDescent="0.2">
      <c r="A63" s="158"/>
      <c r="B63" s="158"/>
      <c r="C63" s="158"/>
      <c r="D63" s="158"/>
      <c r="E63" s="158"/>
      <c r="F63" s="158"/>
      <c r="G63" s="158"/>
      <c r="H63" s="158"/>
      <c r="I63" s="103"/>
      <c r="J63" s="21"/>
      <c r="K63" s="107"/>
      <c r="L63" s="107"/>
      <c r="M63" s="107"/>
      <c r="N63" s="107"/>
      <c r="O63" s="107">
        <v>15</v>
      </c>
      <c r="P63" s="110">
        <f>H70*P$39*O63</f>
        <v>0</v>
      </c>
      <c r="R63" s="3" t="s">
        <v>77</v>
      </c>
      <c r="S63" s="110">
        <v>900000</v>
      </c>
      <c r="T63" s="3" t="s">
        <v>82</v>
      </c>
    </row>
    <row r="64" spans="1:24" x14ac:dyDescent="0.2">
      <c r="A64" s="158"/>
      <c r="B64" s="158"/>
      <c r="C64" s="158"/>
      <c r="D64" s="158"/>
      <c r="E64" s="158"/>
      <c r="F64" s="158"/>
      <c r="G64" s="158"/>
      <c r="H64" s="158"/>
      <c r="I64" s="107"/>
      <c r="J64" s="21"/>
      <c r="K64" s="107"/>
      <c r="L64" s="107"/>
      <c r="M64" s="107"/>
      <c r="N64" s="107"/>
      <c r="S64" s="110"/>
    </row>
    <row r="65" spans="1:20" x14ac:dyDescent="0.2">
      <c r="A65" s="158" t="s">
        <v>83</v>
      </c>
      <c r="B65" s="158"/>
      <c r="C65" s="158"/>
      <c r="D65" s="158"/>
      <c r="E65" s="158"/>
      <c r="F65" s="158"/>
      <c r="G65" s="158"/>
      <c r="H65" s="158"/>
      <c r="I65" s="107"/>
      <c r="K65" s="107"/>
      <c r="L65" s="107"/>
      <c r="M65" s="107"/>
      <c r="N65" s="107"/>
      <c r="R65" s="3" t="s">
        <v>78</v>
      </c>
      <c r="S65" s="110">
        <v>0</v>
      </c>
      <c r="T65" s="3" t="s">
        <v>84</v>
      </c>
    </row>
    <row r="66" spans="1:20" x14ac:dyDescent="0.2">
      <c r="A66" s="158" t="s">
        <v>50</v>
      </c>
      <c r="B66" s="158"/>
      <c r="C66" s="158"/>
      <c r="D66" s="158"/>
      <c r="E66" s="158"/>
      <c r="F66" s="158"/>
      <c r="G66" s="158"/>
      <c r="H66" s="158"/>
      <c r="I66" s="107"/>
      <c r="K66" s="107"/>
      <c r="L66" s="107"/>
      <c r="M66" s="107"/>
      <c r="N66" s="107"/>
      <c r="S66" s="110"/>
    </row>
    <row r="67" spans="1:20" x14ac:dyDescent="0.2">
      <c r="A67" s="158"/>
      <c r="B67" s="154"/>
      <c r="C67" s="159"/>
      <c r="D67" s="160"/>
      <c r="E67" s="155"/>
      <c r="F67" s="156"/>
      <c r="G67" s="156"/>
      <c r="H67" s="157"/>
      <c r="I67" s="107"/>
      <c r="O67" s="125" t="s">
        <v>13</v>
      </c>
      <c r="P67" s="113" t="e">
        <f>SUM(P42:P65)</f>
        <v>#REF!</v>
      </c>
      <c r="S67" s="124">
        <f>S57+S61+S65</f>
        <v>12471000</v>
      </c>
    </row>
    <row r="68" spans="1:20" x14ac:dyDescent="0.2">
      <c r="A68" s="158" t="s">
        <v>89</v>
      </c>
      <c r="B68" s="154"/>
      <c r="C68" s="159"/>
      <c r="D68" s="160"/>
      <c r="E68" s="155"/>
      <c r="F68" s="156"/>
      <c r="G68" s="156"/>
      <c r="H68" s="157"/>
      <c r="I68" s="107"/>
    </row>
    <row r="69" spans="1:20" x14ac:dyDescent="0.2">
      <c r="A69" s="107"/>
      <c r="B69" s="59"/>
      <c r="C69" s="112"/>
      <c r="D69" s="111"/>
      <c r="E69" s="106"/>
      <c r="F69" s="60"/>
      <c r="G69" s="60"/>
      <c r="H69" s="61"/>
      <c r="I69" s="107"/>
    </row>
    <row r="70" spans="1:20" x14ac:dyDescent="0.2">
      <c r="A70" s="107"/>
      <c r="B70" s="59"/>
      <c r="C70" s="112"/>
      <c r="D70" s="111"/>
      <c r="E70" s="106"/>
      <c r="F70" s="60"/>
      <c r="G70" s="60"/>
      <c r="H70" s="61"/>
      <c r="I70" s="107"/>
    </row>
    <row r="71" spans="1:20" x14ac:dyDescent="0.2">
      <c r="A71" s="107"/>
      <c r="B71" s="107"/>
      <c r="C71" s="107"/>
      <c r="D71" s="107"/>
      <c r="E71" s="107"/>
      <c r="F71" s="107"/>
      <c r="G71" s="107"/>
      <c r="H71" s="107"/>
      <c r="I71" s="107"/>
    </row>
    <row r="72" spans="1:20" x14ac:dyDescent="0.2">
      <c r="A72" s="107"/>
      <c r="B72" s="107"/>
      <c r="C72" s="107"/>
      <c r="D72" s="107"/>
      <c r="E72" s="107"/>
      <c r="F72" s="107"/>
      <c r="G72" s="107"/>
      <c r="H72" s="107"/>
      <c r="I72" s="107"/>
    </row>
    <row r="73" spans="1:20" x14ac:dyDescent="0.2">
      <c r="A73" s="107"/>
      <c r="B73" s="107"/>
      <c r="C73" s="107"/>
      <c r="D73" s="107"/>
      <c r="E73" s="107"/>
      <c r="F73" s="107"/>
      <c r="G73" s="107"/>
      <c r="H73" s="107"/>
      <c r="I73" s="107"/>
    </row>
    <row r="74" spans="1:20" x14ac:dyDescent="0.2">
      <c r="A74" s="107"/>
      <c r="B74" s="21"/>
      <c r="C74" s="21"/>
      <c r="D74" s="21"/>
      <c r="E74" s="21"/>
      <c r="F74" s="60"/>
      <c r="G74" s="60"/>
      <c r="H74" s="61"/>
      <c r="I74" s="107"/>
    </row>
    <row r="75" spans="1:20" x14ac:dyDescent="0.2">
      <c r="A75" s="107"/>
      <c r="B75" s="107"/>
      <c r="C75" s="107"/>
      <c r="D75" s="107"/>
      <c r="E75" s="107"/>
      <c r="F75" s="107"/>
      <c r="G75" s="107"/>
      <c r="H75" s="107"/>
      <c r="I75" s="107"/>
    </row>
    <row r="76" spans="1:20" x14ac:dyDescent="0.2">
      <c r="A76" s="107"/>
      <c r="B76" s="107"/>
      <c r="C76" s="107"/>
      <c r="D76" s="107"/>
      <c r="E76" s="107"/>
      <c r="F76" s="107"/>
      <c r="G76" s="107"/>
      <c r="H76" s="107"/>
      <c r="I76" s="107"/>
    </row>
    <row r="77" spans="1:20" x14ac:dyDescent="0.2">
      <c r="A77" s="107"/>
    </row>
    <row r="78" spans="1:20" x14ac:dyDescent="0.2">
      <c r="A78" s="107"/>
    </row>
    <row r="79" spans="1:20" x14ac:dyDescent="0.2">
      <c r="A79" s="107"/>
    </row>
    <row r="80" spans="1:20" x14ac:dyDescent="0.2">
      <c r="A80" s="107"/>
    </row>
    <row r="81" spans="1:1" x14ac:dyDescent="0.2">
      <c r="A81" s="107"/>
    </row>
  </sheetData>
  <autoFilter ref="A6:Z29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4" showButton="0"/>
    <sortState xmlns:xlrd2="http://schemas.microsoft.com/office/spreadsheetml/2017/richdata2" ref="A9:Z34">
      <sortCondition ref="G5:G31"/>
    </sortState>
  </autoFilter>
  <mergeCells count="15">
    <mergeCell ref="E30:H30"/>
    <mergeCell ref="A3:Z3"/>
    <mergeCell ref="A4:Z4"/>
    <mergeCell ref="A6:A7"/>
    <mergeCell ref="B6:B7"/>
    <mergeCell ref="D6:D7"/>
    <mergeCell ref="E6:E7"/>
    <mergeCell ref="F6:F7"/>
    <mergeCell ref="G6:G7"/>
    <mergeCell ref="H6:T6"/>
    <mergeCell ref="U6:U7"/>
    <mergeCell ref="V6:V7"/>
    <mergeCell ref="W6:W7"/>
    <mergeCell ref="X6:X7"/>
    <mergeCell ref="Y6:Z6"/>
  </mergeCells>
  <pageMargins left="0.19685039370078741" right="0.19685039370078741" top="0" bottom="0.35433070866141736" header="0" footer="0.11811023622047245"/>
  <pageSetup paperSize="8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3"/>
  <sheetViews>
    <sheetView workbookViewId="0">
      <pane xSplit="1" topLeftCell="F1" activePane="topRight" state="frozen"/>
      <selection pane="topRight" activeCell="A4" sqref="A4:Z4"/>
    </sheetView>
  </sheetViews>
  <sheetFormatPr baseColWidth="10" defaultRowHeight="12.75" x14ac:dyDescent="0.2"/>
  <cols>
    <col min="1" max="1" width="7.5703125" style="3" customWidth="1"/>
    <col min="2" max="2" width="8.28515625" style="3" customWidth="1"/>
    <col min="3" max="3" width="3.85546875" style="3" hidden="1" customWidth="1"/>
    <col min="4" max="4" width="22.5703125" style="3" customWidth="1"/>
    <col min="5" max="5" width="17.42578125" style="3" customWidth="1"/>
    <col min="6" max="7" width="8.7109375" style="3" customWidth="1"/>
    <col min="8" max="8" width="10.5703125" style="3" customWidth="1"/>
    <col min="9" max="9" width="10.42578125" style="3" customWidth="1"/>
    <col min="10" max="11" width="11.7109375" style="3" customWidth="1"/>
    <col min="12" max="12" width="10.42578125" style="3" customWidth="1"/>
    <col min="13" max="14" width="11.7109375" style="3" customWidth="1"/>
    <col min="15" max="15" width="10.42578125" style="3" customWidth="1"/>
    <col min="16" max="17" width="11.7109375" style="3" customWidth="1"/>
    <col min="18" max="18" width="10.42578125" style="3" customWidth="1"/>
    <col min="19" max="19" width="11.7109375" style="3" customWidth="1"/>
    <col min="20" max="20" width="11" style="3" customWidth="1"/>
    <col min="21" max="21" width="9.7109375" style="4" customWidth="1"/>
    <col min="22" max="22" width="8.85546875" style="4" customWidth="1"/>
    <col min="23" max="23" width="6.140625" style="3" customWidth="1"/>
    <col min="24" max="24" width="10" style="3" customWidth="1"/>
    <col min="25" max="25" width="6.5703125" style="3" customWidth="1"/>
    <col min="26" max="26" width="10.140625" style="3" customWidth="1"/>
    <col min="27" max="27" width="11.42578125" style="3" customWidth="1"/>
    <col min="28" max="16384" width="11.42578125" style="3"/>
  </cols>
  <sheetData>
    <row r="1" spans="1:41" s="1" customFormat="1" ht="30" customHeight="1" x14ac:dyDescent="0.2"/>
    <row r="2" spans="1:41" s="1" customFormat="1" x14ac:dyDescent="0.2">
      <c r="A2" s="2" t="s">
        <v>36</v>
      </c>
    </row>
    <row r="3" spans="1:41" ht="21" x14ac:dyDescent="0.2">
      <c r="A3" s="237" t="s">
        <v>70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C3" s="21"/>
      <c r="AD3" s="21"/>
      <c r="AE3" s="21"/>
      <c r="AF3" s="21"/>
      <c r="AG3" s="21"/>
      <c r="AH3" s="21"/>
      <c r="AI3" s="21"/>
      <c r="AJ3" s="21"/>
      <c r="AK3" s="21"/>
    </row>
    <row r="4" spans="1:41" ht="15.75" customHeight="1" x14ac:dyDescent="0.2">
      <c r="A4" s="238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C4" s="21"/>
      <c r="AD4" s="21"/>
      <c r="AE4" s="21"/>
      <c r="AF4" s="21"/>
      <c r="AG4" s="21"/>
      <c r="AH4" s="21"/>
      <c r="AI4" s="21"/>
      <c r="AJ4" s="21"/>
      <c r="AK4" s="21"/>
    </row>
    <row r="5" spans="1:41" ht="8.25" customHeight="1" x14ac:dyDescent="0.2">
      <c r="AC5" s="21"/>
      <c r="AD5" s="21"/>
      <c r="AE5" s="21"/>
      <c r="AF5" s="21"/>
      <c r="AG5" s="21"/>
      <c r="AH5" s="21"/>
      <c r="AI5" s="21"/>
      <c r="AJ5" s="21"/>
      <c r="AK5" s="21"/>
    </row>
    <row r="6" spans="1:41" ht="15" customHeight="1" x14ac:dyDescent="0.2">
      <c r="A6" s="239" t="s">
        <v>8</v>
      </c>
      <c r="B6" s="241" t="s">
        <v>4</v>
      </c>
      <c r="C6" s="5"/>
      <c r="D6" s="253" t="s">
        <v>5</v>
      </c>
      <c r="E6" s="253" t="s">
        <v>6</v>
      </c>
      <c r="F6" s="255" t="s">
        <v>34</v>
      </c>
      <c r="G6" s="257" t="s">
        <v>35</v>
      </c>
      <c r="H6" s="249" t="s">
        <v>25</v>
      </c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1"/>
      <c r="U6" s="259" t="s">
        <v>15</v>
      </c>
      <c r="V6" s="259" t="s">
        <v>16</v>
      </c>
      <c r="W6" s="262" t="s">
        <v>14</v>
      </c>
      <c r="X6" s="231" t="s">
        <v>23</v>
      </c>
      <c r="Y6" s="264" t="s">
        <v>10</v>
      </c>
      <c r="Z6" s="265"/>
      <c r="AA6" s="6"/>
      <c r="AC6" s="21"/>
      <c r="AD6" s="21"/>
      <c r="AE6" s="21"/>
      <c r="AF6" s="21"/>
      <c r="AG6" s="21"/>
      <c r="AH6" s="21"/>
      <c r="AI6" s="21"/>
      <c r="AJ6" s="21"/>
      <c r="AK6" s="21"/>
    </row>
    <row r="7" spans="1:41" ht="15" customHeight="1" x14ac:dyDescent="0.2">
      <c r="A7" s="240"/>
      <c r="B7" s="242"/>
      <c r="C7" s="7" t="s">
        <v>32</v>
      </c>
      <c r="D7" s="254"/>
      <c r="E7" s="254"/>
      <c r="F7" s="256"/>
      <c r="G7" s="258"/>
      <c r="H7" s="8">
        <v>43466</v>
      </c>
      <c r="I7" s="8" t="s">
        <v>18</v>
      </c>
      <c r="J7" s="8" t="s">
        <v>22</v>
      </c>
      <c r="K7" s="8">
        <v>43555</v>
      </c>
      <c r="L7" s="8" t="s">
        <v>19</v>
      </c>
      <c r="M7" s="8" t="s">
        <v>27</v>
      </c>
      <c r="N7" s="8">
        <v>43646</v>
      </c>
      <c r="O7" s="8" t="s">
        <v>20</v>
      </c>
      <c r="P7" s="8" t="s">
        <v>26</v>
      </c>
      <c r="Q7" s="8">
        <v>43738</v>
      </c>
      <c r="R7" s="8" t="s">
        <v>21</v>
      </c>
      <c r="S7" s="8" t="s">
        <v>28</v>
      </c>
      <c r="T7" s="8">
        <v>43830</v>
      </c>
      <c r="U7" s="261"/>
      <c r="V7" s="261"/>
      <c r="W7" s="263"/>
      <c r="X7" s="232"/>
      <c r="Y7" s="9" t="s">
        <v>9</v>
      </c>
      <c r="Z7" s="9" t="s">
        <v>17</v>
      </c>
      <c r="AC7" s="21"/>
      <c r="AD7" s="21"/>
      <c r="AE7" s="21"/>
      <c r="AF7" s="21"/>
      <c r="AG7" s="21"/>
      <c r="AH7" s="21"/>
      <c r="AI7" s="21"/>
      <c r="AJ7" s="21"/>
      <c r="AK7" s="21"/>
    </row>
    <row r="8" spans="1:41" s="21" customFormat="1" x14ac:dyDescent="0.2">
      <c r="A8" s="10">
        <v>9210.3700000000008</v>
      </c>
      <c r="B8" s="24">
        <v>-3.5000000000000001E-3</v>
      </c>
      <c r="C8" s="11" t="s">
        <v>38</v>
      </c>
      <c r="D8" s="11" t="s">
        <v>39</v>
      </c>
      <c r="E8" s="11" t="s">
        <v>38</v>
      </c>
      <c r="F8" s="12">
        <v>43432</v>
      </c>
      <c r="G8" s="12">
        <v>43613</v>
      </c>
      <c r="H8" s="13">
        <v>8000000</v>
      </c>
      <c r="I8" s="14"/>
      <c r="J8" s="15"/>
      <c r="K8" s="13">
        <v>8000000</v>
      </c>
      <c r="L8" s="14">
        <v>180</v>
      </c>
      <c r="M8" s="15">
        <f>K8*$B8/360*L8</f>
        <v>-13999.999999999998</v>
      </c>
      <c r="N8" s="13"/>
      <c r="O8" s="14">
        <v>90</v>
      </c>
      <c r="P8" s="32">
        <f>N8*$B8/360*O8</f>
        <v>0</v>
      </c>
      <c r="Q8" s="13"/>
      <c r="R8" s="14">
        <v>90</v>
      </c>
      <c r="S8" s="15">
        <f>Q8*$B8/360*R8</f>
        <v>0</v>
      </c>
      <c r="T8" s="22"/>
      <c r="U8" s="16"/>
      <c r="V8" s="16"/>
      <c r="W8" s="17" t="s">
        <v>11</v>
      </c>
      <c r="X8" s="18">
        <f>MROUND((J8+M8+P8+S8),-0.05)</f>
        <v>-14000</v>
      </c>
      <c r="Y8" s="19">
        <v>30</v>
      </c>
      <c r="Z8" s="20">
        <f>MROUND(Q8*B8/360*Y8,-10)</f>
        <v>0</v>
      </c>
      <c r="AC8" s="114">
        <f t="shared" ref="AC8:AC25" si="0">$B8*H8/H$26</f>
        <v>-4.8989589712186156E-4</v>
      </c>
      <c r="AF8" s="114">
        <f t="shared" ref="AF8:AF25" si="1">$B8*K8/K$26</f>
        <v>-4.9002450122506128E-4</v>
      </c>
      <c r="AI8" s="114">
        <f t="shared" ref="AI8:AI25" si="2">$B8*N8/N$26</f>
        <v>0</v>
      </c>
      <c r="AL8" s="114">
        <f t="shared" ref="AL8:AL25" si="3">$B8*Q8/Q$26</f>
        <v>0</v>
      </c>
      <c r="AO8" s="114">
        <f t="shared" ref="AO8:AO25" si="4">$B8*T8/T$26</f>
        <v>0</v>
      </c>
    </row>
    <row r="9" spans="1:41" s="21" customFormat="1" x14ac:dyDescent="0.2">
      <c r="A9" s="89">
        <v>9210.3799999999992</v>
      </c>
      <c r="B9" s="90">
        <v>-3.3999999999999998E-3</v>
      </c>
      <c r="C9" s="91" t="s">
        <v>38</v>
      </c>
      <c r="D9" s="91" t="s">
        <v>39</v>
      </c>
      <c r="E9" s="91" t="s">
        <v>38</v>
      </c>
      <c r="F9" s="27">
        <v>43613</v>
      </c>
      <c r="G9" s="27">
        <v>43797</v>
      </c>
      <c r="H9" s="13"/>
      <c r="I9" s="14"/>
      <c r="J9" s="15"/>
      <c r="K9" s="13"/>
      <c r="L9" s="14">
        <v>180</v>
      </c>
      <c r="M9" s="15">
        <f>K9*$B9/360*L9</f>
        <v>0</v>
      </c>
      <c r="N9" s="13">
        <v>8000000</v>
      </c>
      <c r="O9" s="14">
        <v>90</v>
      </c>
      <c r="P9" s="32">
        <f>N9*$B9/360*O9</f>
        <v>-6800</v>
      </c>
      <c r="Q9" s="13">
        <v>8000000</v>
      </c>
      <c r="R9" s="14">
        <v>90</v>
      </c>
      <c r="S9" s="15">
        <f>Q9*$B9/360*R9</f>
        <v>-6800</v>
      </c>
      <c r="T9" s="22">
        <v>8000000</v>
      </c>
      <c r="U9" s="16"/>
      <c r="V9" s="16"/>
      <c r="W9" s="17" t="s">
        <v>11</v>
      </c>
      <c r="X9" s="18">
        <f>MROUND((J9+M9+P9+S9),-0.05)</f>
        <v>-13600</v>
      </c>
      <c r="Y9" s="19">
        <v>30</v>
      </c>
      <c r="Z9" s="20">
        <f>MROUND(Q9*B9/360*Y9,-10)</f>
        <v>-2270</v>
      </c>
      <c r="AC9" s="114">
        <f t="shared" si="0"/>
        <v>0</v>
      </c>
      <c r="AF9" s="114">
        <f t="shared" si="1"/>
        <v>0</v>
      </c>
      <c r="AI9" s="114">
        <f t="shared" si="2"/>
        <v>-4.7614879649890592E-4</v>
      </c>
      <c r="AL9" s="114">
        <f t="shared" si="3"/>
        <v>-4.3793270004830143E-4</v>
      </c>
      <c r="AO9" s="114">
        <f t="shared" si="4"/>
        <v>-4.0539533497279979E-4</v>
      </c>
    </row>
    <row r="10" spans="1:41" s="21" customFormat="1" x14ac:dyDescent="0.2">
      <c r="A10" s="23">
        <v>9210.39</v>
      </c>
      <c r="B10" s="24">
        <v>-3.7000000000000002E-3</v>
      </c>
      <c r="C10" s="11" t="s">
        <v>38</v>
      </c>
      <c r="D10" s="11" t="s">
        <v>39</v>
      </c>
      <c r="E10" s="11" t="s">
        <v>38</v>
      </c>
      <c r="F10" s="12">
        <v>43455</v>
      </c>
      <c r="G10" s="12">
        <v>43545</v>
      </c>
      <c r="H10" s="13">
        <v>2500000</v>
      </c>
      <c r="I10" s="14">
        <f>31+28+31</f>
        <v>90</v>
      </c>
      <c r="J10" s="15">
        <f>MROUND(H10*$B10/360*I10,-0.05)</f>
        <v>-2312.5</v>
      </c>
      <c r="K10" s="13">
        <v>0</v>
      </c>
      <c r="L10" s="14"/>
      <c r="M10" s="15"/>
      <c r="N10" s="13">
        <v>0</v>
      </c>
      <c r="O10" s="14"/>
      <c r="P10" s="32"/>
      <c r="Q10" s="13">
        <v>0</v>
      </c>
      <c r="R10" s="14"/>
      <c r="S10" s="15"/>
      <c r="T10" s="22">
        <v>0</v>
      </c>
      <c r="U10" s="16"/>
      <c r="V10" s="16"/>
      <c r="W10" s="17" t="s">
        <v>12</v>
      </c>
      <c r="X10" s="18">
        <f>MROUND(J10+M10+P10+S10,-0.05)</f>
        <v>-2312.5</v>
      </c>
      <c r="Y10" s="19">
        <v>0</v>
      </c>
      <c r="Z10" s="20">
        <f>MROUND(H10*B10/360*Y10,10)</f>
        <v>0</v>
      </c>
      <c r="AC10" s="114">
        <f t="shared" si="0"/>
        <v>-1.6184060887061499E-4</v>
      </c>
      <c r="AF10" s="114">
        <f t="shared" si="1"/>
        <v>0</v>
      </c>
      <c r="AI10" s="114">
        <f t="shared" si="2"/>
        <v>0</v>
      </c>
      <c r="AL10" s="114">
        <f t="shared" si="3"/>
        <v>0</v>
      </c>
      <c r="AO10" s="114">
        <f t="shared" si="4"/>
        <v>0</v>
      </c>
    </row>
    <row r="11" spans="1:41" s="21" customFormat="1" x14ac:dyDescent="0.2">
      <c r="A11" s="119">
        <v>9210.4</v>
      </c>
      <c r="B11" s="24">
        <v>-3.3999999999999998E-3</v>
      </c>
      <c r="C11" s="11" t="s">
        <v>38</v>
      </c>
      <c r="D11" s="11" t="s">
        <v>39</v>
      </c>
      <c r="E11" s="11" t="s">
        <v>38</v>
      </c>
      <c r="F11" s="12">
        <v>43545</v>
      </c>
      <c r="G11" s="12">
        <v>43731</v>
      </c>
      <c r="H11" s="13"/>
      <c r="I11" s="14"/>
      <c r="J11" s="15"/>
      <c r="K11" s="13">
        <v>2500000</v>
      </c>
      <c r="L11" s="14"/>
      <c r="M11" s="15"/>
      <c r="N11" s="13">
        <v>2500000</v>
      </c>
      <c r="O11" s="14">
        <v>180</v>
      </c>
      <c r="P11" s="32">
        <f>N11*$B11/360*O11</f>
        <v>-4250</v>
      </c>
      <c r="Q11" s="13">
        <v>2500000</v>
      </c>
      <c r="R11" s="14">
        <v>90</v>
      </c>
      <c r="S11" s="15">
        <f>Q11*$B11/360*R11</f>
        <v>-2125</v>
      </c>
      <c r="T11" s="22">
        <v>2500000</v>
      </c>
      <c r="U11" s="16"/>
      <c r="V11" s="16"/>
      <c r="W11" s="17" t="s">
        <v>12</v>
      </c>
      <c r="X11" s="18">
        <f>MROUND(J11+M11+P11+S11,-0.05)</f>
        <v>-6375</v>
      </c>
      <c r="Y11" s="19">
        <v>0</v>
      </c>
      <c r="Z11" s="20">
        <f>MROUND(H11*B11/360*Y11,10)</f>
        <v>0</v>
      </c>
      <c r="AC11" s="114">
        <f t="shared" si="0"/>
        <v>0</v>
      </c>
      <c r="AF11" s="114">
        <f t="shared" si="1"/>
        <v>-1.487574378718936E-4</v>
      </c>
      <c r="AI11" s="114">
        <f t="shared" si="2"/>
        <v>-1.487964989059081E-4</v>
      </c>
      <c r="AL11" s="114">
        <f t="shared" si="3"/>
        <v>-1.368539687650942E-4</v>
      </c>
      <c r="AO11" s="114">
        <f t="shared" si="4"/>
        <v>-1.2668604217899992E-4</v>
      </c>
    </row>
    <row r="12" spans="1:41" s="21" customFormat="1" ht="15.95" customHeight="1" x14ac:dyDescent="0.2">
      <c r="A12" s="23">
        <v>9210.41</v>
      </c>
      <c r="B12" s="24">
        <v>2.3E-2</v>
      </c>
      <c r="C12" s="25" t="s">
        <v>31</v>
      </c>
      <c r="D12" s="26" t="s">
        <v>3</v>
      </c>
      <c r="E12" s="11" t="s">
        <v>1</v>
      </c>
      <c r="F12" s="121">
        <v>40632</v>
      </c>
      <c r="G12" s="121">
        <v>43920</v>
      </c>
      <c r="H12" s="13">
        <v>3000000</v>
      </c>
      <c r="I12" s="14">
        <f>31+28+31</f>
        <v>90</v>
      </c>
      <c r="J12" s="118">
        <f>MROUND(H12*$B12/360*I12,0.05)</f>
        <v>17250</v>
      </c>
      <c r="K12" s="22">
        <f>H12-$U12</f>
        <v>3000000</v>
      </c>
      <c r="L12" s="14">
        <f>30+31+30</f>
        <v>91</v>
      </c>
      <c r="M12" s="118">
        <f>MROUND(K12*$B12/360*L12,0.05)</f>
        <v>17441.650000000001</v>
      </c>
      <c r="N12" s="22">
        <f t="shared" ref="N12:N16" si="5">K12-$U12</f>
        <v>3000000</v>
      </c>
      <c r="O12" s="14">
        <f>31+31+30</f>
        <v>92</v>
      </c>
      <c r="P12" s="118">
        <f>MROUND(N12*$B12/360*O12,0.05)</f>
        <v>17633.350000000002</v>
      </c>
      <c r="Q12" s="22">
        <f t="shared" ref="Q12:Q16" si="6">N12-$U12</f>
        <v>3000000</v>
      </c>
      <c r="R12" s="14">
        <f>31+30+31</f>
        <v>92</v>
      </c>
      <c r="S12" s="15">
        <f>MROUND(Q12*$B12/360*R12,0.05)</f>
        <v>17633.350000000002</v>
      </c>
      <c r="T12" s="22">
        <f t="shared" ref="T12:T16" si="7">Q12-$U12</f>
        <v>3000000</v>
      </c>
      <c r="U12" s="16"/>
      <c r="V12" s="16"/>
      <c r="W12" s="17" t="s">
        <v>11</v>
      </c>
      <c r="X12" s="18">
        <f t="shared" ref="X12:X16" si="8">MROUND(J12+M12+P12+S12,0.05)</f>
        <v>69958.350000000006</v>
      </c>
      <c r="Y12" s="19">
        <v>0</v>
      </c>
      <c r="Z12" s="20"/>
      <c r="AC12" s="114">
        <f t="shared" si="0"/>
        <v>1.2072434607645875E-3</v>
      </c>
      <c r="AF12" s="114">
        <f t="shared" si="1"/>
        <v>1.207560378018901E-3</v>
      </c>
      <c r="AI12" s="114">
        <f t="shared" si="2"/>
        <v>1.2078774617067833E-3</v>
      </c>
      <c r="AL12" s="114">
        <f t="shared" si="3"/>
        <v>1.110932217034294E-3</v>
      </c>
      <c r="AO12" s="114">
        <f t="shared" si="4"/>
        <v>1.0283925776883524E-3</v>
      </c>
    </row>
    <row r="13" spans="1:41" s="21" customFormat="1" ht="15.95" customHeight="1" x14ac:dyDescent="0.2">
      <c r="A13" s="23">
        <v>9221.32</v>
      </c>
      <c r="B13" s="24">
        <v>1.6799999999999999E-2</v>
      </c>
      <c r="C13" s="25"/>
      <c r="D13" s="26" t="s">
        <v>0</v>
      </c>
      <c r="E13" s="11" t="s">
        <v>7</v>
      </c>
      <c r="F13" s="12">
        <v>40899</v>
      </c>
      <c r="G13" s="12">
        <v>44552</v>
      </c>
      <c r="H13" s="13">
        <v>4000000</v>
      </c>
      <c r="I13" s="14"/>
      <c r="J13" s="15"/>
      <c r="K13" s="22">
        <f>H13-$U13</f>
        <v>4000000</v>
      </c>
      <c r="L13" s="14"/>
      <c r="M13" s="15"/>
      <c r="N13" s="22">
        <f t="shared" si="5"/>
        <v>4000000</v>
      </c>
      <c r="O13" s="14"/>
      <c r="P13" s="15"/>
      <c r="Q13" s="22">
        <f t="shared" si="6"/>
        <v>4000000</v>
      </c>
      <c r="R13" s="14"/>
      <c r="S13" s="15">
        <f>Q13*B13</f>
        <v>67200</v>
      </c>
      <c r="T13" s="22">
        <f t="shared" si="7"/>
        <v>4000000</v>
      </c>
      <c r="U13" s="16"/>
      <c r="V13" s="16"/>
      <c r="W13" s="17" t="s">
        <v>12</v>
      </c>
      <c r="X13" s="18">
        <f t="shared" si="8"/>
        <v>67200</v>
      </c>
      <c r="Y13" s="19">
        <v>9</v>
      </c>
      <c r="Z13" s="20">
        <f>MROUND(H13*B13/360*Y13,10)</f>
        <v>1680</v>
      </c>
      <c r="AC13" s="114">
        <f t="shared" si="0"/>
        <v>1.1757501530924679E-3</v>
      </c>
      <c r="AF13" s="114">
        <f t="shared" si="1"/>
        <v>1.1760588029401471E-3</v>
      </c>
      <c r="AI13" s="114">
        <f t="shared" si="2"/>
        <v>1.1763676148796498E-3</v>
      </c>
      <c r="AL13" s="114">
        <f t="shared" si="3"/>
        <v>1.0819513765899212E-3</v>
      </c>
      <c r="AO13" s="114">
        <f t="shared" si="4"/>
        <v>1.0015649452269171E-3</v>
      </c>
    </row>
    <row r="14" spans="1:41" s="21" customFormat="1" ht="15.95" customHeight="1" x14ac:dyDescent="0.2">
      <c r="A14" s="23">
        <v>9221.33</v>
      </c>
      <c r="B14" s="24">
        <v>1.5699999999999999E-2</v>
      </c>
      <c r="C14" s="25"/>
      <c r="D14" s="26" t="s">
        <v>3</v>
      </c>
      <c r="E14" s="11" t="s">
        <v>7</v>
      </c>
      <c r="F14" s="12">
        <v>41064</v>
      </c>
      <c r="G14" s="12">
        <v>44715</v>
      </c>
      <c r="H14" s="13">
        <v>4000000</v>
      </c>
      <c r="I14" s="14"/>
      <c r="J14" s="15"/>
      <c r="K14" s="22">
        <f>H14-$U14</f>
        <v>4000000</v>
      </c>
      <c r="L14" s="14"/>
      <c r="M14" s="118">
        <f>K14*B14</f>
        <v>62799.999999999993</v>
      </c>
      <c r="N14" s="22">
        <f t="shared" si="5"/>
        <v>4000000</v>
      </c>
      <c r="O14" s="14"/>
      <c r="P14" s="15"/>
      <c r="Q14" s="22">
        <f t="shared" si="6"/>
        <v>4000000</v>
      </c>
      <c r="R14" s="14"/>
      <c r="S14" s="15"/>
      <c r="T14" s="22">
        <f t="shared" si="7"/>
        <v>4000000</v>
      </c>
      <c r="U14" s="16"/>
      <c r="V14" s="16"/>
      <c r="W14" s="17" t="s">
        <v>12</v>
      </c>
      <c r="X14" s="18">
        <f>MROUND(J14+M14+P14+S14,0.05)</f>
        <v>62800</v>
      </c>
      <c r="Y14" s="19">
        <v>207</v>
      </c>
      <c r="Z14" s="20">
        <f>MROUND(N14*B14/360*Y14,10)</f>
        <v>36110</v>
      </c>
      <c r="AC14" s="114">
        <f t="shared" si="0"/>
        <v>1.0987665121161751E-3</v>
      </c>
      <c r="AF14" s="114">
        <f t="shared" si="1"/>
        <v>1.0990549527476372E-3</v>
      </c>
      <c r="AI14" s="114">
        <f t="shared" si="2"/>
        <v>1.0993435448577679E-3</v>
      </c>
      <c r="AL14" s="114">
        <f t="shared" si="3"/>
        <v>1.0111093221703428E-3</v>
      </c>
      <c r="AO14" s="114">
        <f t="shared" si="4"/>
        <v>9.3598628809896404E-4</v>
      </c>
    </row>
    <row r="15" spans="1:41" s="21" customFormat="1" ht="15.95" customHeight="1" x14ac:dyDescent="0.2">
      <c r="A15" s="10">
        <v>9221.36</v>
      </c>
      <c r="B15" s="29">
        <v>1.6899999999999998E-2</v>
      </c>
      <c r="C15" s="30"/>
      <c r="D15" s="26" t="s">
        <v>0</v>
      </c>
      <c r="E15" s="11" t="s">
        <v>30</v>
      </c>
      <c r="F15" s="12">
        <v>41670</v>
      </c>
      <c r="G15" s="12">
        <v>44957</v>
      </c>
      <c r="H15" s="13">
        <v>5000000</v>
      </c>
      <c r="I15" s="14"/>
      <c r="J15" s="118">
        <f>H15*B15</f>
        <v>84499.999999999985</v>
      </c>
      <c r="K15" s="22">
        <v>5000000</v>
      </c>
      <c r="L15" s="14"/>
      <c r="M15" s="15"/>
      <c r="N15" s="22">
        <f>K15-$U15</f>
        <v>5000000</v>
      </c>
      <c r="O15" s="14"/>
      <c r="P15" s="15"/>
      <c r="Q15" s="22">
        <f>N15-$U15</f>
        <v>5000000</v>
      </c>
      <c r="R15" s="14"/>
      <c r="S15" s="15"/>
      <c r="T15" s="22">
        <f>Q15-$U15</f>
        <v>5000000</v>
      </c>
      <c r="U15" s="16"/>
      <c r="V15" s="16"/>
      <c r="W15" s="17" t="s">
        <v>12</v>
      </c>
      <c r="X15" s="18">
        <f>MROUND(J15+M15+P15+S15,0.05)</f>
        <v>84500</v>
      </c>
      <c r="Y15" s="19">
        <v>330</v>
      </c>
      <c r="Z15" s="20">
        <f>MROUND(K15*B15/360*Y15,10)</f>
        <v>77460</v>
      </c>
      <c r="AC15" s="114">
        <f t="shared" si="0"/>
        <v>1.4784358323856178E-3</v>
      </c>
      <c r="AF15" s="114">
        <f t="shared" si="1"/>
        <v>1.4788239411970595E-3</v>
      </c>
      <c r="AI15" s="114">
        <f t="shared" si="2"/>
        <v>1.4792122538293214E-3</v>
      </c>
      <c r="AL15" s="114">
        <f t="shared" si="3"/>
        <v>1.3604894541941713E-3</v>
      </c>
      <c r="AO15" s="114">
        <f t="shared" si="4"/>
        <v>1.2594083016618225E-3</v>
      </c>
    </row>
    <row r="16" spans="1:41" s="21" customFormat="1" ht="15.95" customHeight="1" x14ac:dyDescent="0.2">
      <c r="A16" s="28">
        <v>9221.35</v>
      </c>
      <c r="B16" s="29">
        <v>1.38E-2</v>
      </c>
      <c r="C16" s="30"/>
      <c r="D16" s="31" t="s">
        <v>29</v>
      </c>
      <c r="E16" s="11" t="s">
        <v>30</v>
      </c>
      <c r="F16" s="12">
        <v>41346</v>
      </c>
      <c r="G16" s="12">
        <v>44998</v>
      </c>
      <c r="H16" s="13">
        <v>1655000</v>
      </c>
      <c r="I16" s="14">
        <f>31+28+31</f>
        <v>90</v>
      </c>
      <c r="J16" s="118">
        <f>H16*$B16/360*I16</f>
        <v>5709.75</v>
      </c>
      <c r="K16" s="22">
        <f>H16-$U16</f>
        <v>1640000</v>
      </c>
      <c r="L16" s="14">
        <v>90</v>
      </c>
      <c r="M16" s="118">
        <f>K16*$B16/360*L16</f>
        <v>5658</v>
      </c>
      <c r="N16" s="22">
        <f t="shared" si="5"/>
        <v>1625000</v>
      </c>
      <c r="O16" s="14">
        <v>90</v>
      </c>
      <c r="P16" s="118">
        <f>N16*$B16/360*O16</f>
        <v>5606.25</v>
      </c>
      <c r="Q16" s="22">
        <f t="shared" si="6"/>
        <v>1610000</v>
      </c>
      <c r="R16" s="14">
        <v>90</v>
      </c>
      <c r="S16" s="15">
        <f>Q16*$B16/360*R16</f>
        <v>5554.5</v>
      </c>
      <c r="T16" s="22">
        <f t="shared" si="7"/>
        <v>1595000</v>
      </c>
      <c r="U16" s="16">
        <v>15000</v>
      </c>
      <c r="V16" s="16">
        <f>U16*4</f>
        <v>60000</v>
      </c>
      <c r="W16" s="17" t="s">
        <v>11</v>
      </c>
      <c r="X16" s="18">
        <f t="shared" si="8"/>
        <v>22528.5</v>
      </c>
      <c r="Y16" s="19">
        <f>30-13</f>
        <v>17</v>
      </c>
      <c r="Z16" s="20">
        <f>MROUND(T16*B16/360*Y16,10)</f>
        <v>1040</v>
      </c>
      <c r="AC16" s="114">
        <f t="shared" si="0"/>
        <v>3.9959758551307847E-4</v>
      </c>
      <c r="AF16" s="114">
        <f t="shared" si="1"/>
        <v>3.9607980399019953E-4</v>
      </c>
      <c r="AI16" s="114">
        <f t="shared" si="2"/>
        <v>3.9256017505470459E-4</v>
      </c>
      <c r="AL16" s="114">
        <f t="shared" si="3"/>
        <v>3.5772017388504266E-4</v>
      </c>
      <c r="AO16" s="114">
        <f t="shared" si="4"/>
        <v>3.2805723228258437E-4</v>
      </c>
    </row>
    <row r="17" spans="1:41" s="21" customFormat="1" ht="15.95" customHeight="1" x14ac:dyDescent="0.2">
      <c r="A17" s="28">
        <v>9221.34</v>
      </c>
      <c r="B17" s="29">
        <v>1.4999999999999999E-2</v>
      </c>
      <c r="C17" s="30"/>
      <c r="D17" s="31" t="s">
        <v>3</v>
      </c>
      <c r="E17" s="11" t="s">
        <v>7</v>
      </c>
      <c r="F17" s="12">
        <v>41104</v>
      </c>
      <c r="G17" s="12">
        <v>45485</v>
      </c>
      <c r="H17" s="13">
        <v>4000000</v>
      </c>
      <c r="I17" s="14"/>
      <c r="J17" s="15"/>
      <c r="K17" s="22">
        <f>H17-$U17</f>
        <v>4000000</v>
      </c>
      <c r="L17" s="14"/>
      <c r="M17" s="15"/>
      <c r="N17" s="22">
        <f>K17-$U17</f>
        <v>4000000</v>
      </c>
      <c r="O17" s="14"/>
      <c r="P17" s="118">
        <f>N17*B17</f>
        <v>60000</v>
      </c>
      <c r="Q17" s="22">
        <f>N17-$U17</f>
        <v>4000000</v>
      </c>
      <c r="R17" s="14"/>
      <c r="S17" s="15"/>
      <c r="T17" s="22">
        <f>Q17-$U17</f>
        <v>4000000</v>
      </c>
      <c r="U17" s="16"/>
      <c r="V17" s="16"/>
      <c r="W17" s="17" t="s">
        <v>12</v>
      </c>
      <c r="X17" s="18">
        <f>MROUND(J17+M17+P17+S17,0.05)</f>
        <v>60000</v>
      </c>
      <c r="Y17" s="19">
        <v>168</v>
      </c>
      <c r="Z17" s="20">
        <f>MROUND(Q17*B17/360*Y17,10)</f>
        <v>28000</v>
      </c>
      <c r="AC17" s="114">
        <f t="shared" si="0"/>
        <v>1.0497769224039892E-3</v>
      </c>
      <c r="AF17" s="114">
        <f t="shared" si="1"/>
        <v>1.0500525026251313E-3</v>
      </c>
      <c r="AI17" s="114">
        <f t="shared" si="2"/>
        <v>1.0503282275711159E-3</v>
      </c>
      <c r="AL17" s="114">
        <f t="shared" si="3"/>
        <v>9.6602801481242956E-4</v>
      </c>
      <c r="AO17" s="114">
        <f t="shared" si="4"/>
        <v>8.94254415381176E-4</v>
      </c>
    </row>
    <row r="18" spans="1:41" s="21" customFormat="1" ht="15.95" customHeight="1" x14ac:dyDescent="0.2">
      <c r="A18" s="10">
        <v>9221.3700000000008</v>
      </c>
      <c r="B18" s="29">
        <v>4.4000000000000003E-3</v>
      </c>
      <c r="C18" s="30"/>
      <c r="D18" s="31" t="s">
        <v>3</v>
      </c>
      <c r="E18" s="11" t="s">
        <v>37</v>
      </c>
      <c r="F18" s="12">
        <v>42170</v>
      </c>
      <c r="G18" s="12">
        <v>45824</v>
      </c>
      <c r="H18" s="13">
        <v>5000000</v>
      </c>
      <c r="I18" s="14"/>
      <c r="J18" s="15"/>
      <c r="K18" s="22">
        <v>5000000</v>
      </c>
      <c r="L18" s="14"/>
      <c r="M18" s="15">
        <f>K18*B18</f>
        <v>22000</v>
      </c>
      <c r="N18" s="22">
        <v>5000000</v>
      </c>
      <c r="O18" s="14"/>
      <c r="P18" s="15"/>
      <c r="Q18" s="22">
        <v>5000000</v>
      </c>
      <c r="R18" s="14"/>
      <c r="S18" s="15"/>
      <c r="T18" s="22">
        <v>5000000</v>
      </c>
      <c r="U18" s="16"/>
      <c r="V18" s="16"/>
      <c r="W18" s="17" t="s">
        <v>12</v>
      </c>
      <c r="X18" s="18">
        <f>MROUND(J18+M18+P18+S18,0.05)</f>
        <v>22000</v>
      </c>
      <c r="Y18" s="19">
        <v>196</v>
      </c>
      <c r="Z18" s="20">
        <f>MROUND(N18*B18/360*Y18,10)</f>
        <v>11980</v>
      </c>
      <c r="AC18" s="114">
        <f t="shared" si="0"/>
        <v>3.849182048814627E-4</v>
      </c>
      <c r="AF18" s="114">
        <f t="shared" si="1"/>
        <v>3.8501925096254811E-4</v>
      </c>
      <c r="AI18" s="114">
        <f t="shared" si="2"/>
        <v>3.8512035010940921E-4</v>
      </c>
      <c r="AL18" s="114">
        <f t="shared" si="3"/>
        <v>3.5421027209789086E-4</v>
      </c>
      <c r="AO18" s="114">
        <f t="shared" si="4"/>
        <v>3.278932856397645E-4</v>
      </c>
    </row>
    <row r="19" spans="1:41" s="21" customFormat="1" ht="15.95" customHeight="1" x14ac:dyDescent="0.2">
      <c r="A19" s="23">
        <v>9221.25</v>
      </c>
      <c r="B19" s="24">
        <v>9.7999999999999997E-3</v>
      </c>
      <c r="C19" s="25"/>
      <c r="D19" s="26" t="s">
        <v>2</v>
      </c>
      <c r="E19" s="11" t="s">
        <v>41</v>
      </c>
      <c r="F19" s="12">
        <v>43068</v>
      </c>
      <c r="G19" s="12">
        <v>46720</v>
      </c>
      <c r="H19" s="13">
        <v>10000000</v>
      </c>
      <c r="I19" s="14"/>
      <c r="J19" s="15"/>
      <c r="K19" s="13">
        <v>10000000</v>
      </c>
      <c r="L19" s="14"/>
      <c r="M19" s="15"/>
      <c r="N19" s="13">
        <v>10000000</v>
      </c>
      <c r="O19" s="14"/>
      <c r="P19" s="15"/>
      <c r="Q19" s="13">
        <v>10000000</v>
      </c>
      <c r="R19" s="14">
        <v>360</v>
      </c>
      <c r="S19" s="15">
        <f>Q19*$B19/360*R19</f>
        <v>98000</v>
      </c>
      <c r="T19" s="22">
        <v>10000000</v>
      </c>
      <c r="U19" s="16"/>
      <c r="V19" s="16"/>
      <c r="W19" s="17" t="s">
        <v>12</v>
      </c>
      <c r="X19" s="18">
        <f t="shared" ref="X19" si="9">MROUND(J19+M19+P19+S19,0.05)</f>
        <v>98000</v>
      </c>
      <c r="Y19" s="19">
        <v>32</v>
      </c>
      <c r="Z19" s="20">
        <f>MROUND(T19*B19/360*Y19,10)</f>
        <v>8710</v>
      </c>
      <c r="AC19" s="114">
        <f t="shared" si="0"/>
        <v>1.7146356399265156E-3</v>
      </c>
      <c r="AF19" s="114">
        <f t="shared" si="1"/>
        <v>1.7150857542877144E-3</v>
      </c>
      <c r="AI19" s="114">
        <f t="shared" si="2"/>
        <v>1.7155361050328229E-3</v>
      </c>
      <c r="AL19" s="114">
        <f t="shared" si="3"/>
        <v>1.5778457575269683E-3</v>
      </c>
      <c r="AO19" s="114">
        <f t="shared" si="4"/>
        <v>1.4606155451225874E-3</v>
      </c>
    </row>
    <row r="20" spans="1:41" s="21" customFormat="1" ht="15.95" customHeight="1" x14ac:dyDescent="0.2">
      <c r="A20" s="10">
        <v>9221.3799999999992</v>
      </c>
      <c r="B20" s="29">
        <v>4.0000000000000001E-3</v>
      </c>
      <c r="C20" s="30"/>
      <c r="D20" s="31" t="s">
        <v>3</v>
      </c>
      <c r="E20" s="11" t="s">
        <v>7</v>
      </c>
      <c r="F20" s="12">
        <v>42551</v>
      </c>
      <c r="G20" s="12">
        <v>46934</v>
      </c>
      <c r="H20" s="13">
        <v>5000000</v>
      </c>
      <c r="I20" s="14"/>
      <c r="J20" s="15"/>
      <c r="K20" s="13">
        <v>5000000</v>
      </c>
      <c r="L20" s="14"/>
      <c r="M20" s="118">
        <f>K20*B20</f>
        <v>20000</v>
      </c>
      <c r="N20" s="13">
        <v>5000000</v>
      </c>
      <c r="O20" s="14"/>
      <c r="P20" s="15"/>
      <c r="Q20" s="13">
        <v>5000000</v>
      </c>
      <c r="R20" s="14"/>
      <c r="S20" s="15"/>
      <c r="T20" s="22">
        <v>5000000</v>
      </c>
      <c r="U20" s="16"/>
      <c r="V20" s="16"/>
      <c r="W20" s="17" t="s">
        <v>12</v>
      </c>
      <c r="X20" s="18">
        <f>MROUND(J20+M20+P20+S20,0.05)</f>
        <v>20000</v>
      </c>
      <c r="Y20" s="19">
        <v>180</v>
      </c>
      <c r="Z20" s="20">
        <f>MROUND(N20*B20/360*Y20,10)</f>
        <v>10000</v>
      </c>
      <c r="AC20" s="114">
        <f t="shared" si="0"/>
        <v>3.499256408013297E-4</v>
      </c>
      <c r="AF20" s="114">
        <f t="shared" si="1"/>
        <v>3.5001750087504374E-4</v>
      </c>
      <c r="AI20" s="114">
        <f t="shared" si="2"/>
        <v>3.5010940919037199E-4</v>
      </c>
      <c r="AL20" s="114">
        <f t="shared" si="3"/>
        <v>3.2200933827080985E-4</v>
      </c>
      <c r="AO20" s="114">
        <f t="shared" si="4"/>
        <v>2.9808480512705867E-4</v>
      </c>
    </row>
    <row r="21" spans="1:41" s="21" customFormat="1" ht="15.95" customHeight="1" x14ac:dyDescent="0.2">
      <c r="A21" s="10">
        <v>9221.39</v>
      </c>
      <c r="B21" s="29">
        <v>4.1999999999999997E-3</v>
      </c>
      <c r="C21" s="30"/>
      <c r="D21" s="31" t="s">
        <v>3</v>
      </c>
      <c r="E21" s="11" t="s">
        <v>7</v>
      </c>
      <c r="F21" s="12">
        <v>42698</v>
      </c>
      <c r="G21" s="12">
        <v>47081</v>
      </c>
      <c r="H21" s="13">
        <v>5000000</v>
      </c>
      <c r="I21" s="14"/>
      <c r="J21" s="15"/>
      <c r="K21" s="13">
        <v>5000000</v>
      </c>
      <c r="L21" s="14"/>
      <c r="M21" s="15"/>
      <c r="N21" s="13">
        <v>5000000</v>
      </c>
      <c r="O21" s="14"/>
      <c r="P21" s="15"/>
      <c r="Q21" s="13">
        <v>5000000</v>
      </c>
      <c r="R21" s="14"/>
      <c r="S21" s="118">
        <f>Q21*B21</f>
        <v>21000</v>
      </c>
      <c r="T21" s="22">
        <v>5000000</v>
      </c>
      <c r="U21" s="16"/>
      <c r="V21" s="16"/>
      <c r="W21" s="17" t="s">
        <v>12</v>
      </c>
      <c r="X21" s="18">
        <f>MROUND(J21+M21+P21+S21,0.05)</f>
        <v>21000</v>
      </c>
      <c r="Y21" s="19">
        <v>37</v>
      </c>
      <c r="Z21" s="20">
        <f>MROUND(T21*B21/360*Y21,10)</f>
        <v>2160</v>
      </c>
      <c r="AC21" s="114">
        <f t="shared" si="0"/>
        <v>3.6742192284139623E-4</v>
      </c>
      <c r="AF21" s="114">
        <f t="shared" si="1"/>
        <v>3.6751837591879593E-4</v>
      </c>
      <c r="AI21" s="114">
        <f t="shared" si="2"/>
        <v>3.6761487964989057E-4</v>
      </c>
      <c r="AL21" s="114">
        <f t="shared" si="3"/>
        <v>3.3810980518435036E-4</v>
      </c>
      <c r="AO21" s="114">
        <f t="shared" si="4"/>
        <v>3.1298904538341156E-4</v>
      </c>
    </row>
    <row r="22" spans="1:41" s="21" customFormat="1" ht="15.95" customHeight="1" x14ac:dyDescent="0.2">
      <c r="A22" s="89">
        <v>9221.39</v>
      </c>
      <c r="B22" s="90">
        <v>1E-3</v>
      </c>
      <c r="C22" s="93"/>
      <c r="D22" s="94" t="s">
        <v>48</v>
      </c>
      <c r="E22" s="91" t="s">
        <v>49</v>
      </c>
      <c r="F22" s="27">
        <v>43737</v>
      </c>
      <c r="G22" s="27">
        <v>43737</v>
      </c>
      <c r="H22" s="13"/>
      <c r="I22" s="14"/>
      <c r="J22" s="15"/>
      <c r="K22" s="13"/>
      <c r="L22" s="14"/>
      <c r="M22" s="15"/>
      <c r="N22" s="13"/>
      <c r="O22" s="14"/>
      <c r="P22" s="120"/>
      <c r="Q22" s="13">
        <v>5000000</v>
      </c>
      <c r="R22" s="14"/>
      <c r="S22" s="120"/>
      <c r="T22" s="22">
        <v>5000000</v>
      </c>
      <c r="U22" s="16"/>
      <c r="V22" s="16"/>
      <c r="W22" s="17" t="s">
        <v>12</v>
      </c>
      <c r="X22" s="18">
        <f t="shared" ref="X22:X24" si="10">MROUND(J22+M22+P22+S22,0.05)</f>
        <v>0</v>
      </c>
      <c r="Y22" s="19">
        <v>270</v>
      </c>
      <c r="Z22" s="20">
        <f>MROUND(K22*B22/360*Y22,10)</f>
        <v>0</v>
      </c>
      <c r="AC22" s="114">
        <f t="shared" si="0"/>
        <v>0</v>
      </c>
      <c r="AF22" s="114">
        <f t="shared" si="1"/>
        <v>0</v>
      </c>
      <c r="AI22" s="114">
        <f t="shared" si="2"/>
        <v>0</v>
      </c>
      <c r="AL22" s="114">
        <f t="shared" si="3"/>
        <v>8.0502334567702464E-5</v>
      </c>
      <c r="AO22" s="114">
        <f t="shared" si="4"/>
        <v>7.4521201281764666E-5</v>
      </c>
    </row>
    <row r="23" spans="1:41" s="21" customFormat="1" ht="15.95" customHeight="1" x14ac:dyDescent="0.2">
      <c r="A23" s="89" t="s">
        <v>45</v>
      </c>
      <c r="B23" s="90">
        <v>1.2999999999999999E-2</v>
      </c>
      <c r="C23" s="93"/>
      <c r="D23" s="94" t="s">
        <v>48</v>
      </c>
      <c r="E23" s="91" t="s">
        <v>67</v>
      </c>
      <c r="F23" s="27"/>
      <c r="G23" s="27"/>
      <c r="H23" s="13"/>
      <c r="I23" s="14"/>
      <c r="J23" s="15"/>
      <c r="K23" s="13"/>
      <c r="L23" s="14"/>
      <c r="M23" s="15"/>
      <c r="N23" s="13"/>
      <c r="O23" s="14"/>
      <c r="P23" s="15"/>
      <c r="Q23" s="13"/>
      <c r="R23" s="14"/>
      <c r="S23" s="15"/>
      <c r="T23" s="22">
        <v>5000000</v>
      </c>
      <c r="U23" s="16"/>
      <c r="V23" s="16"/>
      <c r="W23" s="17" t="s">
        <v>12</v>
      </c>
      <c r="X23" s="18">
        <f t="shared" si="10"/>
        <v>0</v>
      </c>
      <c r="Y23" s="19">
        <v>180</v>
      </c>
      <c r="Z23" s="20">
        <f>MROUND(N23*B23/360*Y23,10)</f>
        <v>0</v>
      </c>
      <c r="AC23" s="114">
        <f t="shared" si="0"/>
        <v>0</v>
      </c>
      <c r="AF23" s="114">
        <f t="shared" si="1"/>
        <v>0</v>
      </c>
      <c r="AI23" s="114">
        <f t="shared" si="2"/>
        <v>0</v>
      </c>
      <c r="AL23" s="114">
        <f t="shared" si="3"/>
        <v>0</v>
      </c>
      <c r="AO23" s="114">
        <f t="shared" si="4"/>
        <v>9.6877561666294061E-4</v>
      </c>
    </row>
    <row r="24" spans="1:41" s="21" customFormat="1" ht="15.95" customHeight="1" x14ac:dyDescent="0.2">
      <c r="A24" s="89" t="s">
        <v>45</v>
      </c>
      <c r="B24" s="90">
        <v>1.2999999999999999E-2</v>
      </c>
      <c r="C24" s="93"/>
      <c r="D24" s="94" t="s">
        <v>48</v>
      </c>
      <c r="E24" s="91" t="s">
        <v>67</v>
      </c>
      <c r="F24" s="27"/>
      <c r="G24" s="27"/>
      <c r="H24" s="13"/>
      <c r="I24" s="14"/>
      <c r="J24" s="15"/>
      <c r="K24" s="13"/>
      <c r="L24" s="14"/>
      <c r="M24" s="15"/>
      <c r="N24" s="13"/>
      <c r="O24" s="14"/>
      <c r="P24" s="15"/>
      <c r="Q24" s="13"/>
      <c r="R24" s="14"/>
      <c r="S24" s="15"/>
      <c r="T24" s="22"/>
      <c r="U24" s="16"/>
      <c r="V24" s="16"/>
      <c r="W24" s="17" t="s">
        <v>12</v>
      </c>
      <c r="X24" s="18">
        <f t="shared" si="10"/>
        <v>0</v>
      </c>
      <c r="Y24" s="19">
        <v>90</v>
      </c>
      <c r="Z24" s="20">
        <f>MROUND(Q24*B24/360*Y24,10)</f>
        <v>0</v>
      </c>
      <c r="AC24" s="114">
        <f t="shared" si="0"/>
        <v>0</v>
      </c>
      <c r="AF24" s="114">
        <f t="shared" si="1"/>
        <v>0</v>
      </c>
      <c r="AI24" s="114">
        <f t="shared" si="2"/>
        <v>0</v>
      </c>
      <c r="AL24" s="114">
        <f t="shared" si="3"/>
        <v>0</v>
      </c>
      <c r="AO24" s="114">
        <f t="shared" si="4"/>
        <v>0</v>
      </c>
    </row>
    <row r="25" spans="1:41" s="21" customFormat="1" ht="15.95" customHeight="1" x14ac:dyDescent="0.2">
      <c r="A25" s="89" t="s">
        <v>45</v>
      </c>
      <c r="B25" s="90">
        <v>1.2999999999999999E-2</v>
      </c>
      <c r="C25" s="93"/>
      <c r="D25" s="94" t="s">
        <v>48</v>
      </c>
      <c r="E25" s="91" t="s">
        <v>67</v>
      </c>
      <c r="F25" s="27"/>
      <c r="G25" s="27"/>
      <c r="H25" s="13"/>
      <c r="I25" s="14"/>
      <c r="J25" s="15"/>
      <c r="K25" s="13"/>
      <c r="L25" s="14"/>
      <c r="M25" s="15"/>
      <c r="N25" s="13"/>
      <c r="O25" s="14"/>
      <c r="P25" s="15"/>
      <c r="Q25" s="13"/>
      <c r="R25" s="14"/>
      <c r="S25" s="15"/>
      <c r="T25" s="22"/>
      <c r="U25" s="16"/>
      <c r="V25" s="16"/>
      <c r="W25" s="17" t="s">
        <v>12</v>
      </c>
      <c r="X25" s="18">
        <f>MROUND(J25+M25+P25+S25,0.05)</f>
        <v>0</v>
      </c>
      <c r="Y25" s="19">
        <v>0</v>
      </c>
      <c r="Z25" s="20">
        <f>MROUND(T25*B25/360*Y25,10)</f>
        <v>0</v>
      </c>
      <c r="AC25" s="114">
        <f t="shared" si="0"/>
        <v>0</v>
      </c>
      <c r="AF25" s="114">
        <f t="shared" si="1"/>
        <v>0</v>
      </c>
      <c r="AI25" s="114">
        <f t="shared" si="2"/>
        <v>0</v>
      </c>
      <c r="AL25" s="114">
        <f t="shared" si="3"/>
        <v>0</v>
      </c>
      <c r="AO25" s="114">
        <f t="shared" si="4"/>
        <v>0</v>
      </c>
    </row>
    <row r="26" spans="1:41" ht="20.100000000000001" customHeight="1" x14ac:dyDescent="0.2">
      <c r="A26" s="33"/>
      <c r="B26" s="33"/>
      <c r="C26" s="33"/>
      <c r="D26" s="34" t="s">
        <v>13</v>
      </c>
      <c r="E26" s="35"/>
      <c r="F26" s="35"/>
      <c r="G26" s="36"/>
      <c r="H26" s="37">
        <f>SUM(H8:H25)</f>
        <v>57155000</v>
      </c>
      <c r="I26" s="38"/>
      <c r="J26" s="39">
        <f>SUM(J8:J25)</f>
        <v>105147.24999999999</v>
      </c>
      <c r="K26" s="37">
        <f>SUM(K8:K25)</f>
        <v>57140000</v>
      </c>
      <c r="L26" s="38"/>
      <c r="M26" s="39">
        <f>SUM(M8:M25)</f>
        <v>113899.65</v>
      </c>
      <c r="N26" s="37">
        <f>SUM(N8:N25)</f>
        <v>57125000</v>
      </c>
      <c r="O26" s="38"/>
      <c r="P26" s="39">
        <f>SUM(P8:P25)</f>
        <v>72189.600000000006</v>
      </c>
      <c r="Q26" s="37">
        <f>SUM(Q8:Q25)</f>
        <v>62110000</v>
      </c>
      <c r="R26" s="38"/>
      <c r="S26" s="39">
        <f>SUM(S8:S25)</f>
        <v>200462.85</v>
      </c>
      <c r="T26" s="37">
        <f>SUM(T8:T25)</f>
        <v>67095000</v>
      </c>
      <c r="U26" s="40"/>
      <c r="V26" s="40"/>
      <c r="W26" s="41"/>
      <c r="X26" s="42">
        <f>SUM(X8:X25)</f>
        <v>491699.35</v>
      </c>
      <c r="Y26" s="43"/>
      <c r="Z26" s="44">
        <f>ROUNDDOWN(SUM(Z8:Z25),100)</f>
        <v>174870</v>
      </c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41" s="21" customFormat="1" ht="17.25" hidden="1" customHeight="1" x14ac:dyDescent="0.2">
      <c r="A27" s="45"/>
      <c r="B27" s="46"/>
      <c r="C27" s="46"/>
      <c r="D27" s="47"/>
      <c r="E27" s="235" t="s">
        <v>33</v>
      </c>
      <c r="F27" s="236"/>
      <c r="G27" s="236"/>
      <c r="H27" s="236"/>
      <c r="I27" s="48"/>
      <c r="J27" s="49"/>
      <c r="K27" s="50"/>
      <c r="L27" s="48"/>
      <c r="M27" s="49"/>
      <c r="N27" s="50"/>
      <c r="O27" s="48"/>
      <c r="P27" s="49"/>
      <c r="Q27" s="50"/>
      <c r="R27" s="48"/>
      <c r="S27" s="49"/>
      <c r="T27" s="50"/>
      <c r="AA27" s="57"/>
    </row>
    <row r="28" spans="1:41" s="21" customFormat="1" ht="12.75" customHeight="1" x14ac:dyDescent="0.2">
      <c r="B28" s="58"/>
      <c r="C28" s="58"/>
      <c r="D28" s="59"/>
      <c r="E28" s="21" t="s">
        <v>40</v>
      </c>
      <c r="G28" s="60"/>
      <c r="H28" s="61"/>
      <c r="I28" s="61"/>
      <c r="J28" s="61"/>
      <c r="K28" s="62">
        <f>J26/AVERAGE(H26,K26)</f>
        <v>1.8399273809003016E-3</v>
      </c>
      <c r="L28" s="61"/>
      <c r="M28" s="61"/>
      <c r="N28" s="62">
        <f>M26/AVERAGE(K26,N26)</f>
        <v>1.9936052159453899E-3</v>
      </c>
      <c r="O28" s="61"/>
      <c r="P28" s="61"/>
      <c r="Q28" s="62">
        <f>P26/AVERAGE(N26,Q26)</f>
        <v>1.2108793558938233E-3</v>
      </c>
      <c r="R28" s="61"/>
      <c r="S28" s="61"/>
      <c r="T28" s="62">
        <f>S26/AVERAGE(Q26,T26)</f>
        <v>3.1030200069656747E-3</v>
      </c>
      <c r="U28" s="51" t="s">
        <v>62</v>
      </c>
      <c r="V28" s="52"/>
      <c r="W28" s="53"/>
      <c r="X28" s="54">
        <v>-174840</v>
      </c>
      <c r="Y28" s="55"/>
      <c r="Z28" s="56"/>
      <c r="AB28" s="115">
        <f>AVERAGE(AC28,AF28,AI28,AL28,AO28)</f>
        <v>8.4209865399206933E-3</v>
      </c>
      <c r="AC28" s="115">
        <f>SUM(AC8:AC25)</f>
        <v>8.5747353687341456E-3</v>
      </c>
      <c r="AF28" s="115">
        <f>SUM(AF8:AF25)</f>
        <v>8.586489324466224E-3</v>
      </c>
      <c r="AI28" s="115">
        <f>SUM(AI8:AI25)</f>
        <v>8.5991247264770223E-3</v>
      </c>
      <c r="AL28" s="115">
        <f>SUM(AL8:AL25)</f>
        <v>7.9861213975205275E-3</v>
      </c>
      <c r="AO28" s="115">
        <f>SUM(AO8:AO25)</f>
        <v>8.3584618824055438E-3</v>
      </c>
    </row>
    <row r="29" spans="1:41" s="21" customFormat="1" ht="12.75" customHeight="1" x14ac:dyDescent="0.2">
      <c r="B29" s="58"/>
      <c r="C29" s="58"/>
      <c r="D29" s="59"/>
      <c r="G29" s="60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6"/>
      <c r="T29" s="67"/>
      <c r="U29" s="63"/>
      <c r="V29" s="64"/>
      <c r="W29" s="65"/>
      <c r="X29" s="54"/>
      <c r="Y29" s="55"/>
      <c r="Z29" s="56"/>
    </row>
    <row r="30" spans="1:41" s="21" customFormat="1" ht="17.25" customHeight="1" x14ac:dyDescent="0.2">
      <c r="B30" s="58"/>
      <c r="C30" s="58"/>
      <c r="D30" s="59"/>
      <c r="G30" s="60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8" t="s">
        <v>24</v>
      </c>
      <c r="V30" s="69"/>
      <c r="W30" s="70"/>
      <c r="X30" s="54">
        <f>X26+X28</f>
        <v>316859.34999999998</v>
      </c>
      <c r="Y30" s="55"/>
      <c r="Z30" s="56">
        <f>X30</f>
        <v>316859.34999999998</v>
      </c>
    </row>
    <row r="31" spans="1:41" ht="20.100000000000001" customHeight="1" x14ac:dyDescent="0.2">
      <c r="B31" s="71"/>
      <c r="C31" s="71"/>
      <c r="D31" s="71"/>
      <c r="E31" s="21"/>
      <c r="F31" s="21"/>
      <c r="G31" s="72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4" t="s">
        <v>63</v>
      </c>
      <c r="V31" s="75"/>
      <c r="W31" s="75"/>
      <c r="X31" s="76"/>
      <c r="Y31" s="77"/>
      <c r="Z31" s="78">
        <f>Z26+Z30</f>
        <v>491729.35</v>
      </c>
      <c r="AB31" s="117">
        <v>610000</v>
      </c>
    </row>
    <row r="32" spans="1:41" ht="15.75" x14ac:dyDescent="0.2">
      <c r="A32" s="92" t="s">
        <v>74</v>
      </c>
      <c r="U32" s="79"/>
      <c r="V32" s="80"/>
      <c r="W32" s="81"/>
      <c r="X32" s="81"/>
      <c r="Y32" s="81"/>
      <c r="Z32" s="82"/>
    </row>
    <row r="33" spans="1:28" x14ac:dyDescent="0.2">
      <c r="G33" s="73"/>
      <c r="H33" s="73"/>
      <c r="U33" s="83" t="s">
        <v>64</v>
      </c>
      <c r="V33" s="84"/>
      <c r="W33" s="85"/>
      <c r="X33" s="85"/>
      <c r="Y33" s="85"/>
      <c r="Z33" s="86">
        <f>Z31/AVERAGE(H26,K26,N26,Q26,T26)</f>
        <v>8.1784507276507264E-3</v>
      </c>
      <c r="AB33" s="116">
        <f>AB31/AVERAGE(H26,K26,N26,Q26,T26)</f>
        <v>1.0145530145530145E-2</v>
      </c>
    </row>
    <row r="34" spans="1:28" x14ac:dyDescent="0.2">
      <c r="A34" s="3" t="s">
        <v>43</v>
      </c>
      <c r="G34" s="73"/>
      <c r="H34" s="73"/>
      <c r="U34" s="83"/>
      <c r="V34" s="84"/>
      <c r="W34" s="85"/>
      <c r="X34" s="85"/>
      <c r="Y34" s="85"/>
      <c r="Z34" s="86"/>
    </row>
    <row r="35" spans="1:28" ht="15.75" x14ac:dyDescent="0.2">
      <c r="A35" s="105">
        <v>9210.31</v>
      </c>
      <c r="B35" s="59">
        <v>-3.2000000000000002E-3</v>
      </c>
      <c r="C35" s="106" t="s">
        <v>38</v>
      </c>
      <c r="D35" s="106" t="s">
        <v>39</v>
      </c>
      <c r="E35" s="106" t="s">
        <v>38</v>
      </c>
      <c r="F35" s="60">
        <v>43159</v>
      </c>
      <c r="G35" s="60">
        <v>43434</v>
      </c>
      <c r="H35" s="61">
        <v>10000000</v>
      </c>
      <c r="I35" s="107"/>
      <c r="J35" s="107"/>
      <c r="K35" s="107"/>
      <c r="L35" s="107"/>
      <c r="M35" s="107"/>
      <c r="N35" s="107"/>
      <c r="O35" s="108" t="s">
        <v>56</v>
      </c>
      <c r="P35" s="108" t="s">
        <v>55</v>
      </c>
      <c r="R35" s="92" t="s">
        <v>71</v>
      </c>
      <c r="T35" s="87"/>
      <c r="V35" s="88"/>
    </row>
    <row r="36" spans="1:28" x14ac:dyDescent="0.2">
      <c r="A36" s="21"/>
      <c r="B36" s="21"/>
      <c r="C36" s="21"/>
      <c r="D36" s="21"/>
      <c r="E36" s="21"/>
      <c r="F36" s="21"/>
      <c r="G36" s="21"/>
      <c r="H36" s="21"/>
      <c r="I36" s="107"/>
      <c r="J36" s="107"/>
      <c r="K36" s="107"/>
      <c r="L36" s="107"/>
      <c r="M36" s="107"/>
      <c r="N36" s="107"/>
      <c r="O36" s="107"/>
      <c r="P36" s="109">
        <v>1E-4</v>
      </c>
      <c r="R36" s="95"/>
      <c r="S36" s="81"/>
      <c r="T36" s="81"/>
      <c r="U36" s="96"/>
      <c r="V36" s="97"/>
    </row>
    <row r="37" spans="1:28" x14ac:dyDescent="0.2">
      <c r="A37" s="21" t="s">
        <v>42</v>
      </c>
      <c r="B37" s="21"/>
      <c r="C37" s="21"/>
      <c r="D37" s="21"/>
      <c r="E37" s="21"/>
      <c r="F37" s="21"/>
      <c r="G37" s="73"/>
      <c r="H37" s="73"/>
      <c r="I37" s="107"/>
      <c r="J37" s="107"/>
      <c r="K37" s="107"/>
      <c r="L37" s="107"/>
      <c r="M37" s="107"/>
      <c r="N37" s="107"/>
      <c r="O37" s="107"/>
      <c r="P37" s="107"/>
      <c r="R37" s="6"/>
      <c r="S37" s="21" t="s">
        <v>59</v>
      </c>
      <c r="T37" s="102"/>
      <c r="U37" s="103">
        <v>61155000</v>
      </c>
      <c r="V37" s="98"/>
    </row>
    <row r="38" spans="1:28" x14ac:dyDescent="0.2">
      <c r="A38" s="21"/>
      <c r="B38" s="21"/>
      <c r="C38" s="21"/>
      <c r="D38" s="21"/>
      <c r="E38" s="21"/>
      <c r="F38" s="21"/>
      <c r="G38" s="21"/>
      <c r="H38" s="21"/>
      <c r="I38" s="107"/>
      <c r="J38" s="107"/>
      <c r="K38" s="107"/>
      <c r="L38" s="107"/>
      <c r="M38" s="107"/>
      <c r="N38" s="107"/>
      <c r="O38" s="107"/>
      <c r="P38" s="110"/>
      <c r="R38" s="6"/>
      <c r="S38" s="21"/>
      <c r="T38" s="102"/>
      <c r="U38" s="103"/>
      <c r="V38" s="98"/>
    </row>
    <row r="39" spans="1:28" ht="22.5" x14ac:dyDescent="0.2">
      <c r="A39" s="105">
        <v>9210.31</v>
      </c>
      <c r="B39" s="59">
        <v>-1E-3</v>
      </c>
      <c r="C39" s="106" t="s">
        <v>38</v>
      </c>
      <c r="D39" s="106" t="s">
        <v>39</v>
      </c>
      <c r="E39" s="106" t="s">
        <v>38</v>
      </c>
      <c r="F39" s="60">
        <v>43434</v>
      </c>
      <c r="G39" s="60" t="s">
        <v>47</v>
      </c>
      <c r="H39" s="61">
        <v>12000000</v>
      </c>
      <c r="I39" s="107"/>
      <c r="J39" s="107"/>
      <c r="K39" s="107"/>
      <c r="L39" s="107"/>
      <c r="M39" s="107"/>
      <c r="N39" s="107"/>
      <c r="O39" s="107">
        <v>1</v>
      </c>
      <c r="P39" s="110">
        <f>H39*P$36*O39</f>
        <v>1200</v>
      </c>
      <c r="R39" s="6"/>
      <c r="S39" s="102" t="s">
        <v>60</v>
      </c>
      <c r="T39" s="21"/>
      <c r="U39" s="103">
        <v>16953068</v>
      </c>
      <c r="V39" s="98"/>
    </row>
    <row r="40" spans="1:28" x14ac:dyDescent="0.2">
      <c r="A40" s="21"/>
      <c r="B40" s="107"/>
      <c r="C40" s="107"/>
      <c r="D40" s="107"/>
      <c r="E40" s="107"/>
      <c r="F40" s="107"/>
      <c r="G40" s="107"/>
      <c r="H40" s="21"/>
      <c r="I40" s="107"/>
      <c r="J40" s="107"/>
      <c r="K40" s="107"/>
      <c r="L40" s="107"/>
      <c r="M40" s="107"/>
      <c r="N40" s="107"/>
      <c r="O40" s="107"/>
      <c r="P40" s="110"/>
      <c r="R40" s="6"/>
      <c r="S40" s="102"/>
      <c r="T40" s="21"/>
      <c r="U40" s="103"/>
      <c r="V40" s="98"/>
    </row>
    <row r="41" spans="1:28" x14ac:dyDescent="0.2">
      <c r="A41" s="107" t="s">
        <v>44</v>
      </c>
      <c r="B41" s="107"/>
      <c r="C41" s="107"/>
      <c r="D41" s="107"/>
      <c r="E41" s="107"/>
      <c r="F41" s="107"/>
      <c r="G41" s="107"/>
      <c r="H41" s="21"/>
      <c r="I41" s="107"/>
      <c r="J41" s="21"/>
      <c r="K41" s="21"/>
      <c r="L41" s="21"/>
      <c r="M41" s="21"/>
      <c r="N41" s="21"/>
      <c r="O41" s="21"/>
      <c r="P41" s="110"/>
      <c r="R41" s="6"/>
      <c r="S41" s="102" t="s">
        <v>57</v>
      </c>
      <c r="T41" s="21"/>
      <c r="U41" s="103">
        <v>4217611</v>
      </c>
      <c r="V41" s="98"/>
    </row>
    <row r="42" spans="1:28" x14ac:dyDescent="0.2">
      <c r="A42" s="105">
        <v>9221.4</v>
      </c>
      <c r="B42" s="59">
        <v>-3.7000000000000002E-3</v>
      </c>
      <c r="C42" s="106" t="s">
        <v>38</v>
      </c>
      <c r="D42" s="111" t="s">
        <v>3</v>
      </c>
      <c r="E42" s="106" t="s">
        <v>38</v>
      </c>
      <c r="F42" s="60">
        <v>43366</v>
      </c>
      <c r="G42" s="60">
        <v>43455</v>
      </c>
      <c r="H42" s="61">
        <v>2500000</v>
      </c>
      <c r="I42" s="107"/>
      <c r="J42" s="21"/>
      <c r="K42" s="21"/>
      <c r="L42" s="21"/>
      <c r="M42" s="21"/>
      <c r="N42" s="21"/>
      <c r="O42" s="21"/>
      <c r="P42" s="110"/>
      <c r="R42" s="6"/>
      <c r="S42" s="102"/>
      <c r="T42" s="21"/>
      <c r="U42" s="103"/>
      <c r="V42" s="98"/>
    </row>
    <row r="43" spans="1:28" x14ac:dyDescent="0.2">
      <c r="A43" s="107"/>
      <c r="B43" s="107"/>
      <c r="C43" s="107"/>
      <c r="D43" s="107"/>
      <c r="E43" s="107"/>
      <c r="F43" s="107"/>
      <c r="G43" s="107"/>
      <c r="H43" s="21"/>
      <c r="I43" s="107"/>
      <c r="J43" s="107"/>
      <c r="K43" s="107"/>
      <c r="L43" s="107"/>
      <c r="M43" s="107"/>
      <c r="N43" s="107"/>
      <c r="O43" s="107"/>
      <c r="P43" s="110"/>
      <c r="R43" s="6"/>
      <c r="S43" s="102" t="s">
        <v>65</v>
      </c>
      <c r="T43" s="21"/>
      <c r="U43" s="103">
        <v>73890457</v>
      </c>
      <c r="V43" s="98"/>
    </row>
    <row r="44" spans="1:28" x14ac:dyDescent="0.2">
      <c r="A44" s="107" t="s">
        <v>42</v>
      </c>
      <c r="B44" s="107"/>
      <c r="C44" s="107"/>
      <c r="D44" s="107"/>
      <c r="E44" s="107"/>
      <c r="F44" s="107"/>
      <c r="G44" s="107"/>
      <c r="H44" s="21"/>
      <c r="I44" s="107"/>
      <c r="J44" s="107"/>
      <c r="K44" s="107"/>
      <c r="L44" s="107"/>
      <c r="M44" s="107"/>
      <c r="N44" s="107"/>
      <c r="O44" s="107"/>
      <c r="P44" s="110"/>
      <c r="R44" s="6"/>
      <c r="S44" s="102"/>
      <c r="T44" s="21"/>
      <c r="U44" s="21"/>
      <c r="V44" s="98"/>
    </row>
    <row r="45" spans="1:28" x14ac:dyDescent="0.2">
      <c r="A45" s="107"/>
      <c r="B45" s="107"/>
      <c r="C45" s="107"/>
      <c r="D45" s="107"/>
      <c r="E45" s="107"/>
      <c r="F45" s="107"/>
      <c r="G45" s="107"/>
      <c r="H45" s="21"/>
      <c r="I45" s="107"/>
      <c r="J45" s="107"/>
      <c r="K45" s="107"/>
      <c r="L45" s="107"/>
      <c r="M45" s="107"/>
      <c r="N45" s="107"/>
      <c r="O45" s="107"/>
      <c r="P45" s="110"/>
      <c r="R45" s="6"/>
      <c r="S45" s="102" t="s">
        <v>58</v>
      </c>
      <c r="T45" s="21"/>
      <c r="U45" s="103">
        <v>73095000</v>
      </c>
      <c r="V45" s="98"/>
    </row>
    <row r="46" spans="1:28" ht="22.5" x14ac:dyDescent="0.2">
      <c r="A46" s="105">
        <v>9221.4</v>
      </c>
      <c r="B46" s="59">
        <v>-1E-3</v>
      </c>
      <c r="C46" s="106" t="s">
        <v>38</v>
      </c>
      <c r="D46" s="111" t="s">
        <v>39</v>
      </c>
      <c r="E46" s="106" t="s">
        <v>38</v>
      </c>
      <c r="F46" s="60">
        <v>43455</v>
      </c>
      <c r="G46" s="60" t="s">
        <v>47</v>
      </c>
      <c r="H46" s="61">
        <v>2500000</v>
      </c>
      <c r="I46" s="107"/>
      <c r="J46" s="107"/>
      <c r="K46" s="107"/>
      <c r="L46" s="107"/>
      <c r="M46" s="107"/>
      <c r="N46" s="107"/>
      <c r="O46" s="107">
        <v>1</v>
      </c>
      <c r="P46" s="110">
        <f>H46*P$36*O46</f>
        <v>250</v>
      </c>
      <c r="R46" s="6"/>
      <c r="S46" s="102"/>
      <c r="T46" s="21"/>
      <c r="U46" s="21"/>
      <c r="V46" s="98"/>
    </row>
    <row r="47" spans="1:28" x14ac:dyDescent="0.2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10"/>
      <c r="R47" s="6"/>
      <c r="S47" s="21" t="s">
        <v>61</v>
      </c>
      <c r="T47" s="21"/>
      <c r="U47" s="103">
        <v>795457</v>
      </c>
      <c r="V47" s="98"/>
      <c r="X47" s="3" t="s">
        <v>66</v>
      </c>
    </row>
    <row r="48" spans="1:28" x14ac:dyDescent="0.2">
      <c r="A48" s="107" t="s">
        <v>46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10"/>
      <c r="R48" s="99"/>
      <c r="S48" s="100"/>
      <c r="T48" s="100"/>
      <c r="U48" s="100"/>
      <c r="V48" s="101"/>
    </row>
    <row r="49" spans="1:22" x14ac:dyDescent="0.2">
      <c r="A49" s="107" t="s">
        <v>50</v>
      </c>
      <c r="B49" s="107"/>
      <c r="C49" s="107"/>
      <c r="D49" s="107"/>
      <c r="E49" s="107"/>
      <c r="F49" s="107"/>
      <c r="G49" s="107"/>
      <c r="H49" s="107"/>
      <c r="I49" s="107" t="s">
        <v>54</v>
      </c>
      <c r="J49" s="107"/>
      <c r="K49" s="107"/>
      <c r="L49" s="107"/>
      <c r="M49" s="107"/>
      <c r="N49" s="107"/>
      <c r="O49" s="107"/>
      <c r="P49" s="110"/>
      <c r="U49" s="3"/>
      <c r="V49" s="3"/>
    </row>
    <row r="50" spans="1:22" x14ac:dyDescent="0.2">
      <c r="A50" s="105" t="s">
        <v>45</v>
      </c>
      <c r="B50" s="59">
        <v>1.2999999999999999E-2</v>
      </c>
      <c r="C50" s="112"/>
      <c r="D50" s="111" t="s">
        <v>48</v>
      </c>
      <c r="E50" s="106" t="s">
        <v>49</v>
      </c>
      <c r="F50" s="60">
        <v>43466</v>
      </c>
      <c r="G50" s="60">
        <v>47119</v>
      </c>
      <c r="H50" s="61"/>
      <c r="I50" s="21"/>
      <c r="J50" s="21" t="s">
        <v>53</v>
      </c>
      <c r="K50" s="107"/>
      <c r="L50" s="107"/>
      <c r="M50" s="107"/>
      <c r="N50" s="107"/>
      <c r="O50" s="107"/>
      <c r="P50" s="110"/>
      <c r="U50" s="3"/>
    </row>
    <row r="51" spans="1:22" x14ac:dyDescent="0.2">
      <c r="A51" s="21"/>
      <c r="B51" s="21"/>
      <c r="C51" s="21"/>
      <c r="D51" s="21"/>
      <c r="E51" s="21"/>
      <c r="F51" s="60">
        <v>43555</v>
      </c>
      <c r="G51" s="60">
        <v>47208</v>
      </c>
      <c r="H51" s="61">
        <v>4000000</v>
      </c>
      <c r="I51" s="103">
        <f>H51</f>
        <v>4000000</v>
      </c>
      <c r="J51" s="21" t="s">
        <v>51</v>
      </c>
      <c r="K51" s="107"/>
      <c r="L51" s="107"/>
      <c r="M51" s="107"/>
      <c r="N51" s="107"/>
      <c r="O51" s="21">
        <v>10</v>
      </c>
      <c r="P51" s="110">
        <f t="shared" ref="P51:P54" si="11">H51*P$36*O51</f>
        <v>4000</v>
      </c>
      <c r="U51" s="3"/>
    </row>
    <row r="52" spans="1:22" x14ac:dyDescent="0.2">
      <c r="A52" s="21"/>
      <c r="B52" s="21"/>
      <c r="C52" s="21"/>
      <c r="D52" s="21"/>
      <c r="E52" s="21"/>
      <c r="F52" s="60">
        <v>43646</v>
      </c>
      <c r="G52" s="60">
        <v>47299</v>
      </c>
      <c r="H52" s="61">
        <v>4000000</v>
      </c>
      <c r="I52" s="103">
        <f>H52+I51</f>
        <v>8000000</v>
      </c>
      <c r="J52" s="21" t="s">
        <v>52</v>
      </c>
      <c r="K52" s="107"/>
      <c r="L52" s="107"/>
      <c r="M52" s="107"/>
      <c r="N52" s="107"/>
      <c r="O52" s="21">
        <v>10</v>
      </c>
      <c r="P52" s="110">
        <f t="shared" si="11"/>
        <v>4000</v>
      </c>
      <c r="T52" s="87"/>
    </row>
    <row r="53" spans="1:22" x14ac:dyDescent="0.2">
      <c r="A53" s="21"/>
      <c r="B53" s="21"/>
      <c r="C53" s="21"/>
      <c r="D53" s="21"/>
      <c r="E53" s="21"/>
      <c r="F53" s="60">
        <v>43738</v>
      </c>
      <c r="G53" s="60">
        <v>47391</v>
      </c>
      <c r="H53" s="61">
        <v>4000000</v>
      </c>
      <c r="I53" s="103">
        <f t="shared" ref="I53:I54" si="12">H53+I52</f>
        <v>12000000</v>
      </c>
      <c r="J53" s="21"/>
      <c r="K53" s="107"/>
      <c r="L53" s="107"/>
      <c r="M53" s="107"/>
      <c r="N53" s="107"/>
      <c r="O53" s="21">
        <v>10</v>
      </c>
      <c r="P53" s="110">
        <f t="shared" si="11"/>
        <v>4000</v>
      </c>
    </row>
    <row r="54" spans="1:22" x14ac:dyDescent="0.2">
      <c r="A54" s="21"/>
      <c r="B54" s="21"/>
      <c r="C54" s="21"/>
      <c r="D54" s="21"/>
      <c r="E54" s="21"/>
      <c r="F54" s="60">
        <v>43830</v>
      </c>
      <c r="G54" s="60">
        <v>47483</v>
      </c>
      <c r="H54" s="61">
        <v>4000000</v>
      </c>
      <c r="I54" s="103">
        <f t="shared" si="12"/>
        <v>16000000</v>
      </c>
      <c r="J54" s="21"/>
      <c r="K54" s="107"/>
      <c r="L54" s="107"/>
      <c r="M54" s="107"/>
      <c r="N54" s="107"/>
      <c r="O54" s="21">
        <v>10</v>
      </c>
      <c r="P54" s="110">
        <f t="shared" si="11"/>
        <v>4000</v>
      </c>
    </row>
    <row r="55" spans="1:22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107"/>
      <c r="L55" s="107"/>
      <c r="M55" s="107"/>
      <c r="N55" s="107"/>
      <c r="O55" s="107"/>
      <c r="P55" s="110"/>
    </row>
    <row r="56" spans="1:22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107"/>
      <c r="L56" s="107"/>
      <c r="M56" s="107"/>
      <c r="N56" s="107"/>
      <c r="O56" s="107"/>
      <c r="P56" s="113">
        <f>SUM(P39:P54)</f>
        <v>17450</v>
      </c>
    </row>
    <row r="57" spans="1:22" x14ac:dyDescent="0.2">
      <c r="P57" s="104"/>
    </row>
    <row r="58" spans="1:22" x14ac:dyDescent="0.2">
      <c r="P58" s="104"/>
    </row>
    <row r="61" spans="1:22" x14ac:dyDescent="0.2">
      <c r="A61" s="21"/>
      <c r="B61" s="21"/>
      <c r="C61" s="21"/>
      <c r="D61" s="21"/>
      <c r="E61" s="21"/>
      <c r="F61" s="60"/>
      <c r="G61" s="60"/>
      <c r="H61" s="61"/>
      <c r="I61" s="103"/>
      <c r="J61" s="21"/>
      <c r="K61" s="107"/>
      <c r="L61" s="107"/>
      <c r="M61" s="107"/>
      <c r="N61" s="107"/>
      <c r="O61" s="21"/>
      <c r="P61" s="110"/>
    </row>
    <row r="62" spans="1:22" x14ac:dyDescent="0.2">
      <c r="J62" s="21"/>
      <c r="K62" s="107"/>
      <c r="L62" s="107"/>
      <c r="M62" s="107"/>
      <c r="N62" s="107"/>
      <c r="O62" s="107"/>
    </row>
    <row r="63" spans="1:22" x14ac:dyDescent="0.2">
      <c r="J63" s="21"/>
      <c r="K63" s="107"/>
      <c r="L63" s="107"/>
      <c r="M63" s="107"/>
      <c r="N63" s="107"/>
      <c r="O63" s="107"/>
    </row>
  </sheetData>
  <autoFilter ref="A6:Z26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4" showButton="0"/>
    <sortState xmlns:xlrd2="http://schemas.microsoft.com/office/spreadsheetml/2017/richdata2" ref="A9:Z31">
      <sortCondition ref="G5:G28"/>
    </sortState>
  </autoFilter>
  <mergeCells count="15">
    <mergeCell ref="E27:H27"/>
    <mergeCell ref="E6:E7"/>
    <mergeCell ref="D6:D7"/>
    <mergeCell ref="B6:B7"/>
    <mergeCell ref="A3:Z3"/>
    <mergeCell ref="A4:Z4"/>
    <mergeCell ref="Y6:Z6"/>
    <mergeCell ref="A6:A7"/>
    <mergeCell ref="X6:X7"/>
    <mergeCell ref="W6:W7"/>
    <mergeCell ref="V6:V7"/>
    <mergeCell ref="U6:U7"/>
    <mergeCell ref="H6:T6"/>
    <mergeCell ref="G6:G7"/>
    <mergeCell ref="F6:F7"/>
  </mergeCells>
  <pageMargins left="0.19685039370078741" right="0.19685039370078741" top="0" bottom="0.35433070866141736" header="0" footer="0.11811023622047245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Réel 2021</vt:lpstr>
      <vt:lpstr>Budget 2021</vt:lpstr>
      <vt:lpstr>Forecast 2020</vt:lpstr>
      <vt:lpstr>Réel 2019 (18.09.2019)</vt:lpstr>
      <vt:lpstr>'Budget 2021'!Zone_d_impression</vt:lpstr>
      <vt:lpstr>'Forecast 2020'!Zone_d_impression</vt:lpstr>
      <vt:lpstr>'Réel 2019 (18.09.2019)'!Zone_d_impression</vt:lpstr>
      <vt:lpstr>'Réel 2021'!Zone_d_impression</vt:lpstr>
    </vt:vector>
  </TitlesOfParts>
  <Company>Info Services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Laurella</dc:creator>
  <cp:lastModifiedBy>Julien Ménoret</cp:lastModifiedBy>
  <cp:lastPrinted>2020-09-02T08:19:53Z</cp:lastPrinted>
  <dcterms:created xsi:type="dcterms:W3CDTF">2004-03-23T13:26:04Z</dcterms:created>
  <dcterms:modified xsi:type="dcterms:W3CDTF">2021-02-15T16:32:32Z</dcterms:modified>
</cp:coreProperties>
</file>